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" activeTab="6"/>
  </bookViews>
  <sheets>
    <sheet name="SP NR 1" sheetId="1" r:id="rId1"/>
    <sheet name="SP NR 2" sheetId="2" r:id="rId2"/>
    <sheet name="SP NR 3" sheetId="3" r:id="rId3"/>
    <sheet name="SP w Wydrzu" sheetId="4" r:id="rId4"/>
    <sheet name="SP w Węgliskach" sheetId="5" r:id="rId5"/>
    <sheet name="GIMNAZJUM" sheetId="6" r:id="rId6"/>
    <sheet name="dowożenie" sheetId="7" r:id="rId7"/>
    <sheet name="ZESiP" sheetId="8" r:id="rId8"/>
    <sheet name="Oddz.Przed. w Wydrzu" sheetId="9" r:id="rId9"/>
    <sheet name="Oddz.Przed.w Węgliskach" sheetId="10" r:id="rId10"/>
    <sheet name="Oddz.Przed. SP nr 3" sheetId="11" r:id="rId11"/>
    <sheet name="Oddz.Przed. SP nr 2" sheetId="12" r:id="rId12"/>
    <sheet name="PRZEDSZKOLE" sheetId="13" r:id="rId13"/>
    <sheet name="Pl. Dochodów" sheetId="14" r:id="rId14"/>
    <sheet name="NOWE - Pl. Wydatków" sheetId="15" r:id="rId15"/>
    <sheet name="Zobowiązania" sheetId="16" r:id="rId16"/>
    <sheet name="akcja kredytowa - Wersja I" sheetId="17" r:id="rId17"/>
    <sheet name="NOWA akcja kredytowa-Wersja II" sheetId="18" r:id="rId18"/>
    <sheet name="prognoza długu - Wersja I" sheetId="19" r:id="rId19"/>
    <sheet name="NOWE prognoza długu-Wersja II" sheetId="20" r:id="rId20"/>
    <sheet name="zmiany demogr." sheetId="21" r:id="rId21"/>
    <sheet name="harm. poż. - wariant I" sheetId="22" r:id="rId22"/>
    <sheet name="NOWY harm. poż. - wariant II" sheetId="23" r:id="rId23"/>
  </sheets>
  <externalReferences>
    <externalReference r:id="rId26"/>
  </externalReferences>
  <definedNames>
    <definedName name="_xlnm.Print_Area" localSheetId="16">'akcja kredytowa - Wersja I'!$A$1:$P$31</definedName>
    <definedName name="_xlnm.Print_Area" localSheetId="21">'harm. poż. - wariant I'!$A$1:$J$58</definedName>
    <definedName name="_xlnm.Print_Area" localSheetId="17">'NOWA akcja kredytowa-Wersja II'!$A$1:$P$31</definedName>
    <definedName name="_xlnm.Print_Area" localSheetId="19">'NOWE prognoza długu-Wersja II'!$A$1:$P$45</definedName>
    <definedName name="_xlnm.Print_Area" localSheetId="22">'NOWY harm. poż. - wariant II'!$A$1:$K$58</definedName>
    <definedName name="_xlnm.Print_Area" localSheetId="18">'prognoza długu - Wersja I'!$A$1:$P$45</definedName>
    <definedName name="_xlnm.Print_Area" localSheetId="20">'zmiany demogr.'!$A$1:$Q$21</definedName>
    <definedName name="_xlnm.Print_Area" localSheetId="15">'Zobowiązania'!$A$1:$E$26</definedName>
  </definedNames>
  <calcPr fullCalcOnLoad="1"/>
</workbook>
</file>

<file path=xl/sharedStrings.xml><?xml version="1.0" encoding="utf-8"?>
<sst xmlns="http://schemas.openxmlformats.org/spreadsheetml/2006/main" count="1179" uniqueCount="462">
  <si>
    <t>Analiza wydatków Szkoły Podstawowej w .................</t>
  </si>
  <si>
    <t xml:space="preserve">Paragraf </t>
  </si>
  <si>
    <t>Wyszczególnienie</t>
  </si>
  <si>
    <t>Wykonanie 2003r.</t>
  </si>
  <si>
    <t>Zobowiązania wg stanu na 31.12.2003r.</t>
  </si>
  <si>
    <t>Razem wydatki + zobowiązania</t>
  </si>
  <si>
    <t>Plan wydatków na rok 2004</t>
  </si>
  <si>
    <t>Wykonanie wydatków na 31.10.2004r.</t>
  </si>
  <si>
    <t>Zobowiązania na 31.10.2004r.</t>
  </si>
  <si>
    <t>nagrody i wydatki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</si>
  <si>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</si>
  <si>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</si>
  <si>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</si>
  <si>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</si>
  <si>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</si>
  <si>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</si>
  <si>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</si>
  <si>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</si>
  <si>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</si>
  <si>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</si>
  <si>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podróże służbowe krajowe</t>
  </si>
  <si>
    <t>odpisy na Zakładowy Fundusz Świadczeń Socjalnych</t>
  </si>
  <si>
    <t>wydatki na zakupy inwestycyjne jednostek budżetowych</t>
  </si>
  <si>
    <t>wydatki inwestycyjne jednostek budżetowych</t>
  </si>
  <si>
    <t>Prognoza wydatków na 31.12.2004r.</t>
  </si>
  <si>
    <t>Prognoza wydatków na 2005r.</t>
  </si>
  <si>
    <t>liczba uczniów w roku szkolnym 2003/2004</t>
  </si>
  <si>
    <t>liczba uczniów w roku szkolnym 2004/2005</t>
  </si>
  <si>
    <t>subwencja przypadająca na 1 ucznia w roku 2004</t>
  </si>
  <si>
    <t>subwencja przypadająca na 1 ucznia w roku 2005</t>
  </si>
  <si>
    <t>subwencja przypadająca na szkołę w 2004</t>
  </si>
  <si>
    <t>subwencja przypadająca na szkołę w 2005</t>
  </si>
  <si>
    <t>dofinansowanie z budżetu gminy w 2004</t>
  </si>
  <si>
    <t>dofinansowanie z budżetu gminy w 2005</t>
  </si>
  <si>
    <t>RAZEM</t>
  </si>
  <si>
    <t>DOCHODY BUDŻETU GMINY RAKSZAWA</t>
  </si>
  <si>
    <t>W LATACH 2003-2008 WEDŁUG WAŻNIEJSZYCH ŹRÓDEŁ</t>
  </si>
  <si>
    <t>l.p.</t>
  </si>
  <si>
    <t>Plan na 2005</t>
  </si>
  <si>
    <t>Budżet 2004</t>
  </si>
  <si>
    <t>Wykonanie 2003</t>
  </si>
  <si>
    <t>Plan na 2006</t>
  </si>
  <si>
    <t>Plan na 2007</t>
  </si>
  <si>
    <t>Plan na 2008</t>
  </si>
  <si>
    <t>Wsk % 4:3</t>
  </si>
  <si>
    <t>Wsk % 5:3</t>
  </si>
  <si>
    <t>Wsk % 7:6</t>
  </si>
  <si>
    <t>Wsk % 8:7</t>
  </si>
  <si>
    <t>Wsk % 6:5</t>
  </si>
  <si>
    <t>Prognoza 2004</t>
  </si>
  <si>
    <t>Wsk % 9:8</t>
  </si>
  <si>
    <t xml:space="preserve">I. </t>
  </si>
  <si>
    <t>1.</t>
  </si>
  <si>
    <t>1.1</t>
  </si>
  <si>
    <t>Dochody podatkowe</t>
  </si>
  <si>
    <t>1.1.1</t>
  </si>
  <si>
    <t>podatek rolny</t>
  </si>
  <si>
    <t>1.1.2</t>
  </si>
  <si>
    <t>podatek leśny</t>
  </si>
  <si>
    <t>1.1.3</t>
  </si>
  <si>
    <t>podatek od nieruchomości</t>
  </si>
  <si>
    <t>1.1.4</t>
  </si>
  <si>
    <t>podatek od środków transportowych</t>
  </si>
  <si>
    <t>1.1.6</t>
  </si>
  <si>
    <t>1.1.5</t>
  </si>
  <si>
    <t>podatek od czynności cywilnoprawnych</t>
  </si>
  <si>
    <t>podatek od spadków i darowizn</t>
  </si>
  <si>
    <t>1.1.7</t>
  </si>
  <si>
    <t>podatek od posiadania psów</t>
  </si>
  <si>
    <t>1.1.8</t>
  </si>
  <si>
    <t>wpływy z podatku od działalności gospodarczej osób fizycznych opłacany w formie karty podatkowej</t>
  </si>
  <si>
    <t>1.1.9</t>
  </si>
  <si>
    <t>odsetki od zaległości podatkowych</t>
  </si>
  <si>
    <t>2.</t>
  </si>
  <si>
    <t>Wpływy z opłat</t>
  </si>
  <si>
    <t>2.1</t>
  </si>
  <si>
    <t>DOCHODY WŁASNE</t>
  </si>
  <si>
    <t>1.2</t>
  </si>
  <si>
    <t>1.2.1</t>
  </si>
  <si>
    <t>1.2.2</t>
  </si>
  <si>
    <t>opłata skarbowa</t>
  </si>
  <si>
    <t>opłata eksploatacyjna</t>
  </si>
  <si>
    <t>1.2.3</t>
  </si>
  <si>
    <t>opłata targowa</t>
  </si>
  <si>
    <t>1.2.4</t>
  </si>
  <si>
    <t>opłata administracyjna za czynności urzędowe</t>
  </si>
  <si>
    <t>1.2.5</t>
  </si>
  <si>
    <t>opłaty za zezwolenie na sprzedaż napojów alkoholowych</t>
  </si>
  <si>
    <t>1.3</t>
  </si>
  <si>
    <t>Dochody z majątku gminy</t>
  </si>
  <si>
    <t>1.3.1</t>
  </si>
  <si>
    <t>opłaty za wieczyste użytkowanie gruntów</t>
  </si>
  <si>
    <t>1.3.2</t>
  </si>
  <si>
    <t>1.3.3</t>
  </si>
  <si>
    <t>czynsze najmu i dzierżawy składników majątkowych</t>
  </si>
  <si>
    <t>1.4</t>
  </si>
  <si>
    <t>1.4.1</t>
  </si>
  <si>
    <t xml:space="preserve">wpływy z wpłat za dostarczaną wodę, gaz i eneregię elektryczną </t>
  </si>
  <si>
    <t>pozostałe dochody</t>
  </si>
  <si>
    <t>1.4.2</t>
  </si>
  <si>
    <t>pozostałe odsetki</t>
  </si>
  <si>
    <t>1.4.3</t>
  </si>
  <si>
    <t>otrzymane darowizny (wpłaty na rzecz budowy urządzeń infrastruktury komunalnej)</t>
  </si>
  <si>
    <t>1.4.4</t>
  </si>
  <si>
    <t>1.4.5</t>
  </si>
  <si>
    <t>wpływy z usług opiekuńczych</t>
  </si>
  <si>
    <t>2.2</t>
  </si>
  <si>
    <t xml:space="preserve">część oświatowa subwencji </t>
  </si>
  <si>
    <t>część podstawowa i wyrównawcza</t>
  </si>
  <si>
    <t>2.3</t>
  </si>
  <si>
    <t>część rekompensująca, równowarząca i uzupełniająca</t>
  </si>
  <si>
    <t>3.</t>
  </si>
  <si>
    <t>3.1</t>
  </si>
  <si>
    <t>udział w podatku dochodowym od  osób fizycznych</t>
  </si>
  <si>
    <t>3.2</t>
  </si>
  <si>
    <t>udział w podatku dochodowym od  osób prawnych</t>
  </si>
  <si>
    <t>4.</t>
  </si>
  <si>
    <t>4.1</t>
  </si>
  <si>
    <t>dotacje na zadania zlecone</t>
  </si>
  <si>
    <t>4.2</t>
  </si>
  <si>
    <t>dotacje na zadania własne</t>
  </si>
  <si>
    <t>4.3</t>
  </si>
  <si>
    <t>4.4</t>
  </si>
  <si>
    <t>dotacje na zadania przejęte na podstawie porozumień między jednostkami samorządu terytorialnego</t>
  </si>
  <si>
    <t>środki z innych źródeł</t>
  </si>
  <si>
    <t>SUBWENCJE Z BUDŻETU PAŃSTWA</t>
  </si>
  <si>
    <t>UDZIAŁ W PODATKACH STANOWIĄCYCH DOCHÓD BUDŻETU PAŃSTWA</t>
  </si>
  <si>
    <t>DOTACJE I ŚRODKI ZE ŹRÓDEŁ POZABUDŻETOWYCH</t>
  </si>
  <si>
    <t>DOCHODY OGÓŁEM (1+2+3+4)</t>
  </si>
  <si>
    <t>PLAN  WYDATKÓW  GMINY  RAKSZAWA</t>
  </si>
  <si>
    <t>W  LATACH  2003-2008 WEDŁUG GŁÓWNYCH KIERUNKÓW WYDATKOWANIA</t>
  </si>
  <si>
    <t>dział</t>
  </si>
  <si>
    <t>010</t>
  </si>
  <si>
    <t>ROLNICTWO  I  ŁOWIECTWO</t>
  </si>
  <si>
    <t>a) wydatki bieżące</t>
  </si>
  <si>
    <t>b) wydatki majątkowe</t>
  </si>
  <si>
    <t>600</t>
  </si>
  <si>
    <t>TRANSPORT  I  ŁĄCZNOŚĆ</t>
  </si>
  <si>
    <t>w tym:</t>
  </si>
  <si>
    <t>700</t>
  </si>
  <si>
    <t>GOSPODARKA  MIESZKANIOWA</t>
  </si>
  <si>
    <t>750</t>
  </si>
  <si>
    <t>ADMINISTRACJA PUBLICZNA</t>
  </si>
  <si>
    <t>751</t>
  </si>
  <si>
    <t>URZĘY NACZELNYCH ORGANÓW WŁADZY PAŃSTWOWEJ, KONTROLI I OCHRONY PRAWA</t>
  </si>
  <si>
    <t>754</t>
  </si>
  <si>
    <t>BEZPIECZEŃSTWO  PUBLICZNE I OCHRONA PRZECIWPOŻAROWA</t>
  </si>
  <si>
    <t>756</t>
  </si>
  <si>
    <t>757</t>
  </si>
  <si>
    <t>OBSŁUGA  DŁUGU  PUBLICZNEGO</t>
  </si>
  <si>
    <t>758</t>
  </si>
  <si>
    <t>RÓŻNE ROZLICZENIA</t>
  </si>
  <si>
    <t>801</t>
  </si>
  <si>
    <t>OŚWIATA  I  WYCHOWANIE</t>
  </si>
  <si>
    <t>851</t>
  </si>
  <si>
    <t>OCHRONA  ZDROWIA</t>
  </si>
  <si>
    <t>852</t>
  </si>
  <si>
    <t>POMOC  SPOŁECZNA</t>
  </si>
  <si>
    <t>854</t>
  </si>
  <si>
    <t>EDUKACYJNA  OPIEKA  WYCHOWAWCZA</t>
  </si>
  <si>
    <t>900</t>
  </si>
  <si>
    <t>GOSPODARKA  KOMUNALNA I OCHRONA  ŚRODOWISKA</t>
  </si>
  <si>
    <t>921</t>
  </si>
  <si>
    <t>KULTURA  I  OCHRONA  DZIEDZICTWA  NARODOWEGO</t>
  </si>
  <si>
    <t>926</t>
  </si>
  <si>
    <t>KULTURA  FIZYCZNA  I  SPORT</t>
  </si>
  <si>
    <t>- dotacje</t>
  </si>
  <si>
    <t>- wynagrodzenia i pochodne od wynagrodzeń</t>
  </si>
  <si>
    <t>- wydatki na obsługę długu jednostki samorządu terytorialnego</t>
  </si>
  <si>
    <t>2) wydatki majątkowe</t>
  </si>
  <si>
    <t>z tego:</t>
  </si>
  <si>
    <t>f) odpis na ZFŚS nauczycieli emerytów</t>
  </si>
  <si>
    <t>g) pozostałe bieżące wydatki</t>
  </si>
  <si>
    <t>* zadania własne</t>
  </si>
  <si>
    <t>* zadania zlecone</t>
  </si>
  <si>
    <t>c) dożywianie dzieci</t>
  </si>
  <si>
    <t>d) dodatki mieszkaniowe</t>
  </si>
  <si>
    <t>f) składki na ubezpieczenia zdrowotne</t>
  </si>
  <si>
    <t>Prognoza 2004r.</t>
  </si>
  <si>
    <t>Prognoza 2005r.</t>
  </si>
  <si>
    <t>Prognoza 2006</t>
  </si>
  <si>
    <t>Prognoza 2007r.</t>
  </si>
  <si>
    <t>Prognoza 2008r.</t>
  </si>
  <si>
    <t>Prognoza 2009r.</t>
  </si>
  <si>
    <t>Prognoza 2010r.</t>
  </si>
  <si>
    <t>Prognoza 2011r.</t>
  </si>
  <si>
    <t>Prognoza 2012r.</t>
  </si>
  <si>
    <t>Prognoza 2013r.</t>
  </si>
  <si>
    <t>Prognoza 2014</t>
  </si>
  <si>
    <t>Prognoza 2015r.</t>
  </si>
  <si>
    <t>Prognoza 2016r.</t>
  </si>
  <si>
    <t>Dochody budżetu gminy</t>
  </si>
  <si>
    <t>Nadwyżka operacyjna</t>
  </si>
  <si>
    <t xml:space="preserve">Nadwyżka operacyjna / dochody (%) </t>
  </si>
  <si>
    <t>5.</t>
  </si>
  <si>
    <t>Wydatki na obsługę długu</t>
  </si>
  <si>
    <t>6.</t>
  </si>
  <si>
    <t>7.</t>
  </si>
  <si>
    <t>Wolne środki budżetu na inwestycje</t>
  </si>
  <si>
    <t>8.</t>
  </si>
  <si>
    <t>Deficyt środków</t>
  </si>
  <si>
    <t>9.</t>
  </si>
  <si>
    <t>Źródła sfinansowania deficytu:</t>
  </si>
  <si>
    <t>9.1</t>
  </si>
  <si>
    <t>kredyty i pożyczki</t>
  </si>
  <si>
    <t>9.2</t>
  </si>
  <si>
    <t>nadwyżka budżetu z lat ubiegłych</t>
  </si>
  <si>
    <t>9.3</t>
  </si>
  <si>
    <t>wolne środki na rachunku z rozliczen z lat ubiegłych</t>
  </si>
  <si>
    <t>10.</t>
  </si>
  <si>
    <t>11.</t>
  </si>
  <si>
    <t>12.</t>
  </si>
  <si>
    <t>Wskaźnik poziomu długu (limit ustawowy 60%)</t>
  </si>
  <si>
    <t>Wskaźnik obsługi długu (limit ustawowy 15%)</t>
  </si>
  <si>
    <t>13.</t>
  </si>
  <si>
    <t>Kwota zobowiązań bez pokrycia</t>
  </si>
  <si>
    <t>Spłata rat pożyczek i kredytów oraz zobowiązań wymagalnych - rozwinięcie</t>
  </si>
  <si>
    <t>- zobowiązania placówek oświatowych</t>
  </si>
  <si>
    <t>- rezerwa na zobowiązania ZUS (brak wywiązania się z umowy restrukturyzacyjnej)</t>
  </si>
  <si>
    <t>- pożyczka NFOŚ</t>
  </si>
  <si>
    <t>- zobowiązania UG</t>
  </si>
  <si>
    <t>- kredyt BS S.A. O/Rzeszó</t>
  </si>
  <si>
    <t>l..p.</t>
  </si>
  <si>
    <t>Razem</t>
  </si>
  <si>
    <t>Zobowiązania długoterminowe</t>
  </si>
  <si>
    <t>z tytułu :</t>
  </si>
  <si>
    <t>dostaw towarów i usług</t>
  </si>
  <si>
    <t>Funduszu Ubezpieczeń Społecznych</t>
  </si>
  <si>
    <t>Budżetu Państwa - podatkowe</t>
  </si>
  <si>
    <t>Urząd Gminy w Rakszawie</t>
  </si>
  <si>
    <t>gminnych jednostek budżetowych</t>
  </si>
  <si>
    <t>Zobowiązania krótkoterminowe</t>
  </si>
  <si>
    <t>Narodowy Fundusz Ochrony Środowiska i Gospodarki Wodnej w Warszawie</t>
  </si>
  <si>
    <t>Bank Polskiej Spółdzielczośći S.A. O/Rzeszów</t>
  </si>
  <si>
    <t>2.4</t>
  </si>
  <si>
    <t>Zobowiązania ogółem</t>
  </si>
  <si>
    <t>Zadłużenie Budżetu Gminy Rakszawa</t>
  </si>
  <si>
    <t>ZOBOWIĄZANIA  GMINY RAKSZAWA</t>
  </si>
  <si>
    <t>w tym wymagalne</t>
  </si>
  <si>
    <t>Kwota główna</t>
  </si>
  <si>
    <t>Odsetki</t>
  </si>
  <si>
    <t xml:space="preserve">W LATACH 2003-2016  </t>
  </si>
  <si>
    <t>DOCHODY</t>
  </si>
  <si>
    <t>WYDATKI</t>
  </si>
  <si>
    <t>wydatki bieżące</t>
  </si>
  <si>
    <t>wydatki majątkowe</t>
  </si>
  <si>
    <t xml:space="preserve">ROZCHODY </t>
  </si>
  <si>
    <t xml:space="preserve">spłata rat kredytów </t>
  </si>
  <si>
    <t xml:space="preserve">spłata rat pożyczek </t>
  </si>
  <si>
    <t>WYNIK (1-2-3)</t>
  </si>
  <si>
    <t>3.3</t>
  </si>
  <si>
    <t>pożyczki udzielone</t>
  </si>
  <si>
    <t>3.4</t>
  </si>
  <si>
    <t>wykup obligacji samorządowych</t>
  </si>
  <si>
    <t>PRZYCHODY</t>
  </si>
  <si>
    <t>5.1</t>
  </si>
  <si>
    <t xml:space="preserve">otrzymane kredyty </t>
  </si>
  <si>
    <t>5.2</t>
  </si>
  <si>
    <t>otrzymane pożyczki</t>
  </si>
  <si>
    <t>5.3</t>
  </si>
  <si>
    <t>spłaty pożyczek udzielonych</t>
  </si>
  <si>
    <t>5.4</t>
  </si>
  <si>
    <t>nadwyżka z lat ubiegłych</t>
  </si>
  <si>
    <t>5.5</t>
  </si>
  <si>
    <t>papiery wartościowe</t>
  </si>
  <si>
    <t>5.6</t>
  </si>
  <si>
    <t>obligacje jednostek samorządu terytorialnego</t>
  </si>
  <si>
    <t>5.7</t>
  </si>
  <si>
    <t>inne źródła</t>
  </si>
  <si>
    <t>3.5</t>
  </si>
  <si>
    <t>3.6</t>
  </si>
  <si>
    <t>inne cele</t>
  </si>
  <si>
    <t>UMORZONE POŻYCZKI</t>
  </si>
  <si>
    <t>DŁUG NA KONIEC ROKU</t>
  </si>
  <si>
    <t>7.1</t>
  </si>
  <si>
    <t>7.2</t>
  </si>
  <si>
    <t>7.3</t>
  </si>
  <si>
    <t>wyemitowane papiery wartościowe</t>
  </si>
  <si>
    <t>7.4</t>
  </si>
  <si>
    <t>przyjęte depozyty</t>
  </si>
  <si>
    <t>7.5</t>
  </si>
  <si>
    <t xml:space="preserve">wymagalne zobowiązania </t>
  </si>
  <si>
    <t>2.1.1</t>
  </si>
  <si>
    <t>koszty obsługi długu publicznego</t>
  </si>
  <si>
    <t>sprzedaż składników majątkowych</t>
  </si>
  <si>
    <t>1.4.6</t>
  </si>
  <si>
    <t>pozostałe dochody własne</t>
  </si>
  <si>
    <t>odpłatności za pobyt w przedszkolu oraz świetlicach szkolnych</t>
  </si>
  <si>
    <t>rozliczenie między jednostkami samorządu terytorialnego</t>
  </si>
  <si>
    <t>020</t>
  </si>
  <si>
    <t>LEŚNICTWO</t>
  </si>
  <si>
    <t xml:space="preserve"> w tym:</t>
  </si>
  <si>
    <t>400</t>
  </si>
  <si>
    <t>710</t>
  </si>
  <si>
    <t>DZIAŁALNOŚĆ USŁUGOWA</t>
  </si>
  <si>
    <t>- składki na rzecz Izby Rolniczej</t>
  </si>
  <si>
    <t>- utrzymanie dróg gminnych</t>
  </si>
  <si>
    <t>- wydatki  związane z zarządem mieniem komunalnym</t>
  </si>
  <si>
    <t xml:space="preserve">- wydatki rzeczowe Urzędu </t>
  </si>
  <si>
    <t xml:space="preserve">- wydatki osobowe Urzędu </t>
  </si>
  <si>
    <t>- wydatki bieżące Rady Gminy</t>
  </si>
  <si>
    <t>- zakupy inwestycyjne</t>
  </si>
  <si>
    <t>- aktualizacja rejestru wyborców</t>
  </si>
  <si>
    <t xml:space="preserve">- referenda i wybory </t>
  </si>
  <si>
    <t>- wydatki bieżące Ochotniczych Straży Pożarnych</t>
  </si>
  <si>
    <t>- wydatki na osobowe związane z poborem  podatków i opłat</t>
  </si>
  <si>
    <t>- wydatki osobowe Ochotniczych Straży Pożarnych</t>
  </si>
  <si>
    <t>- wydatki rzeczowe związane z poborem podatków i opłat</t>
  </si>
  <si>
    <t>- rezerwa ogólna</t>
  </si>
  <si>
    <t>a) szkoły podstawowe, w tym:</t>
  </si>
  <si>
    <t>b) gimnazjum publiczne, w tym</t>
  </si>
  <si>
    <t>c) dowożenie uczniów do szkół, w tym:</t>
  </si>
  <si>
    <t>d) zespół obsługi ekonomiczno - administracyjnej szkół, w tym:</t>
  </si>
  <si>
    <t>h) dokształcanie nauczycieli</t>
  </si>
  <si>
    <t>- wydatki na przeciwdziałanie alkoholizmowi</t>
  </si>
  <si>
    <t>a) zasiłki rodzinne, z tego:</t>
  </si>
  <si>
    <t>b) zasiłki i pomoc w naturze, z tego:</t>
  </si>
  <si>
    <t>e) ośrodek pomocy społecznej, z tego:</t>
  </si>
  <si>
    <t>f) usługi opiekuńcze, z tego:</t>
  </si>
  <si>
    <t>- wydatki na świetlice szkolne</t>
  </si>
  <si>
    <t>- wydatki bieżące z zakresu gospodarki wodnościekowej</t>
  </si>
  <si>
    <t xml:space="preserve">- usługi komunalne </t>
  </si>
  <si>
    <t>- wydatki bieżące na oświetlenie ulic</t>
  </si>
  <si>
    <t>- wydatki majątkowe w rozbudowy oświetlenia ulicznego</t>
  </si>
  <si>
    <t>- dotacja dla instytucji kultury</t>
  </si>
  <si>
    <t>- dotacje dla stowarzyszeń na  wydatki bieżące w zakresie kultury i ochrony dziedzictwa narodowego</t>
  </si>
  <si>
    <t>- dotacje dla stowarzyszeń w zakresie kultury fizycznej</t>
  </si>
  <si>
    <t>- pozostałe wydatki z zakresu kultury fizycznej</t>
  </si>
  <si>
    <t>- wydatki osobowe zadań zleconych z zakresu admoinistracji rządowej</t>
  </si>
  <si>
    <t>-wydatki rzeczowe na zadania zlecone z zakresu administracji rządowej</t>
  </si>
  <si>
    <t>1.4.7</t>
  </si>
  <si>
    <t>wpływy z opłaty produktowej</t>
  </si>
  <si>
    <t xml:space="preserve"> wymagalne zobowiązania z tytułu dostaw i usług, wobec ZUS, US, ZFŚS nauczycieli  </t>
  </si>
  <si>
    <t>Stan zobowiązań na koniec roku (wpływające na poziom długu)</t>
  </si>
  <si>
    <t>wydatki inwestycyjne - poniesione i do poniesienia</t>
  </si>
  <si>
    <t xml:space="preserve">Spłata rat pożyczek i kredytów </t>
  </si>
  <si>
    <t>wyszczególnienie</t>
  </si>
  <si>
    <t>SP nr 1 w Rakszawie</t>
  </si>
  <si>
    <t>SP nr 2 w Rakszawie</t>
  </si>
  <si>
    <t>SP nr 3 w Rakszawie</t>
  </si>
  <si>
    <t>liczba dzieci w obwodzie</t>
  </si>
  <si>
    <t>SP w Węgliskach</t>
  </si>
  <si>
    <t>SP w Wydrzu</t>
  </si>
  <si>
    <t>Gimnazjum</t>
  </si>
  <si>
    <t>6.1.</t>
  </si>
  <si>
    <t>w tym wnioskowana pożyczka</t>
  </si>
  <si>
    <t>9.1.1</t>
  </si>
  <si>
    <t>Załącznik nr 1</t>
  </si>
  <si>
    <t>Załącznik nr 2</t>
  </si>
  <si>
    <t>Załącznik nr 3</t>
  </si>
  <si>
    <t>zmiana procentowa w układzie w odniesieniu do roku bazowewgo 1989</t>
  </si>
  <si>
    <t>liczba dzieci uczęszczających do szkół podastawowych i gimnazjów</t>
  </si>
  <si>
    <t>stypendia oraz inne formy pom.</t>
  </si>
  <si>
    <t>Różne opłaty i składki</t>
  </si>
  <si>
    <t>odsetki</t>
  </si>
  <si>
    <t>koszty komornicze</t>
  </si>
  <si>
    <t>koszt utrzymania 1 ucznia w 2004</t>
  </si>
  <si>
    <t>koszt utrzymania 1 ucznia w 2005</t>
  </si>
  <si>
    <t>liczba uczniów w 2004 roku</t>
  </si>
  <si>
    <t>liczba uczniów w 2005 roku</t>
  </si>
  <si>
    <t xml:space="preserve">Różne opłaty i składki </t>
  </si>
  <si>
    <t>Liczba uczniów w 2004 roku</t>
  </si>
  <si>
    <t>różne opłaty i składki</t>
  </si>
  <si>
    <t>72329.89</t>
  </si>
  <si>
    <t>1 561.01</t>
  </si>
  <si>
    <t>Liczba uczniów w 2005 roku</t>
  </si>
  <si>
    <t>4.170,02</t>
  </si>
  <si>
    <t>4 17,02</t>
  </si>
  <si>
    <t>ZEASiP</t>
  </si>
  <si>
    <t>5 727, 30</t>
  </si>
  <si>
    <t>2 049.33</t>
  </si>
  <si>
    <t>opłata restrukturyzacyjna</t>
  </si>
  <si>
    <t>Oddział Przedszolny w Wydrzu</t>
  </si>
  <si>
    <t>Przedszkole nr 1 w Rakszawie</t>
  </si>
  <si>
    <t>Analiza kosztu dowozu dzieci i młodzieży</t>
  </si>
  <si>
    <t>Analiza wydatków Oddziału Przedszolnego w Węgliskach</t>
  </si>
  <si>
    <t>Analiza wydatków Oddziału Przedszolnego nr 3 w Rakszawie</t>
  </si>
  <si>
    <t>Analiza wydatków Oddziału Przedszolnego nr 2 w Rakszawie</t>
  </si>
  <si>
    <t>Analiza wydatków Zespołu Szkoły Podstawowej i Przedszkola nr 1 w Rakszawie</t>
  </si>
  <si>
    <t>załącznik nr 4</t>
  </si>
  <si>
    <t>Analiza wydatków Szkoły Podstawowej nr 2 w Rakszawie</t>
  </si>
  <si>
    <t>załacznik nr 5</t>
  </si>
  <si>
    <t>Analiza wydatków Szkoły Podstawowej nr 3 w Rakszawie</t>
  </si>
  <si>
    <t>załacznik nr 6</t>
  </si>
  <si>
    <t>Analiza wydatków Szkoły Podstawowej w Wydrzu</t>
  </si>
  <si>
    <t>załącznik nr 7</t>
  </si>
  <si>
    <t>Analiza wydatków Szkoły Podstawowej w Węgliskach</t>
  </si>
  <si>
    <t>załącznik nr 8</t>
  </si>
  <si>
    <t>Analiza wydatków Publicznego Gimnazjum w Rakszawie</t>
  </si>
  <si>
    <t>załącznik nr 9</t>
  </si>
  <si>
    <t>Załącznik nr 10</t>
  </si>
  <si>
    <t>Załącznik nr 11</t>
  </si>
  <si>
    <t>Wskaźniki demograficzne dla obwodów szkolnych szkół podstawowych i  gimnazjum w Rakszawie</t>
  </si>
  <si>
    <t>- środki na odmulenie stawu w Rakszawie -Brzeźniku oraz likwidacja szkód na sieci drenarskiej</t>
  </si>
  <si>
    <t>- zakup paszy dla zwierzyny leśnej</t>
  </si>
  <si>
    <t xml:space="preserve">- opracowania geodezyjne, kartograficzne oraz urbanistyczne </t>
  </si>
  <si>
    <t>- odsetki od nieterminowych wpłat należności publicznoprawnych i cywilnoprawnych</t>
  </si>
  <si>
    <t>- zwrot dotacji do ARiMR w Warszawie</t>
  </si>
  <si>
    <t>- wydatki bieżące związane z dofinansowaniem jednostki terenowej Policji</t>
  </si>
  <si>
    <t>- wydatki majątkowe związane z realizacją zadan z zakresu obrony cywilnej</t>
  </si>
  <si>
    <t>e) przedszkola</t>
  </si>
  <si>
    <t>Wydatki bieżące (bez wydatków na obsługę długu)</t>
  </si>
  <si>
    <t>- zakup energii elektrycznej dla obsługi sieci wodociągowej</t>
  </si>
  <si>
    <t>DOCHODY  OD  OSÓB PRAWNYCH, FIZYCZNYCH I OD INNYCH JEDNOSTEK NIE POSIADAJĄCYCH OSOBOWOŚCI PRAWNEJ ORAZ WYDATKI ZWIĄZANE Z ICH POBOREM</t>
  </si>
  <si>
    <t>2 47,56</t>
  </si>
  <si>
    <t xml:space="preserve">                          Plan spłaty rat kapitałowych.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</si>
  <si>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</si>
  <si>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</si>
  <si>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</si>
  <si>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</si>
  <si>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</si>
  <si>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</si>
  <si>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</si>
  <si>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</si>
  <si>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</si>
  <si>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</si>
  <si>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</si>
  <si>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</si>
  <si>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saldo do obliczenia odsetek</t>
  </si>
  <si>
    <t xml:space="preserve">                               Plan spłaty odsetek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</si>
  <si>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</si>
  <si>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</si>
  <si>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</si>
  <si>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</si>
  <si>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</si>
  <si>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</si>
  <si>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</si>
  <si>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</si>
  <si>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</si>
  <si>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</si>
  <si>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</si>
  <si>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</si>
  <si>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    Razem obsługa kredytu</t>
  </si>
  <si>
    <t>Raty</t>
  </si>
  <si>
    <t>Ogółem</t>
  </si>
  <si>
    <t>Razem do spłaty</t>
  </si>
  <si>
    <t>Harmonogram spłaty pożyczki wraz z odsetkami dla Wariantu I,</t>
  </si>
  <si>
    <t xml:space="preserve">                     Oprocentowanie pożyczki</t>
  </si>
  <si>
    <t>Harmonogram spłaty pożyczki wraz z odsetkami dla Wariantu II,</t>
  </si>
  <si>
    <t>Pozostało do spłaty</t>
  </si>
  <si>
    <t>Wykonanie 2004</t>
  </si>
  <si>
    <t>Wykonanie 2004r.</t>
  </si>
  <si>
    <t>WYSOKOŚĆ AKCJI KREDYTOWEJ I KOSZTY JEJ OBSŁUGI  DLA  WARIANTU   I</t>
  </si>
  <si>
    <t>PROGNOZA DŁUGU GMINY RAKSZAWA DLA  WARIANTU  II</t>
  </si>
  <si>
    <t>PROGNOZA DŁUGU GMINY RAKSZAWA DLA  WARIANTU  I</t>
  </si>
  <si>
    <t>Załącznik nr 12</t>
  </si>
  <si>
    <t>Załącznik nr 13</t>
  </si>
  <si>
    <t>Załącznik nr 15</t>
  </si>
  <si>
    <t>WEDŁUG STANU NA 31.12.2004 rok</t>
  </si>
  <si>
    <t>wymagalne odsetki od kredytów</t>
  </si>
  <si>
    <t>Budżet na 2004</t>
  </si>
  <si>
    <t xml:space="preserve">- dokapitalizowanie Zakład Usług Komunalnych „ENERGOKOM” sp. z o.o. </t>
  </si>
  <si>
    <t>- wydatki majątkowe w zakresie infrastruktury wodno-ściekowej</t>
  </si>
  <si>
    <t>- selektywna zbiórka odpadów komunalnych</t>
  </si>
  <si>
    <t xml:space="preserve">- koszty postepowania sądowego </t>
  </si>
  <si>
    <t>- zwrot do budzetu nienależnie pobranej subwencji</t>
  </si>
  <si>
    <t>wykup papierów wartościowych</t>
  </si>
  <si>
    <t>- rezerwa celowa na inwestycje</t>
  </si>
  <si>
    <t>Bank PKO BP SA O/Łańcut</t>
  </si>
  <si>
    <t>WYSOKOŚĆ AKCJI KREDYTOWEJ I KOSZTY JEJ OBSŁUGI  DLA  WARIANTU  II</t>
  </si>
  <si>
    <t>załącznik nr 14</t>
  </si>
  <si>
    <t>Załącznik nr 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</si>
</sst>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#,##0_ ;\-#,##0\ "/>
  </numFmts>
  <fonts count="18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i/>
      <sz val="8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dotted"/>
      <right style="dotted"/>
      <top style="medium"/>
      <bottom style="thick"/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3" borderId="4" xfId="0" applyNumberFormat="1" applyFont="1" applyFill="1" applyBorder="1" applyAlignment="1">
      <alignment wrapText="1"/>
    </xf>
    <xf numFmtId="49" fontId="1" fillId="3" borderId="5" xfId="0" applyNumberFormat="1" applyFont="1" applyFill="1" applyBorder="1" applyAlignment="1">
      <alignment wrapText="1"/>
    </xf>
    <xf numFmtId="49" fontId="1" fillId="3" borderId="6" xfId="0" applyNumberFormat="1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3" fillId="0" borderId="0" xfId="0" applyFont="1" applyAlignment="1">
      <alignment/>
    </xf>
    <xf numFmtId="49" fontId="1" fillId="0" borderId="9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1" fillId="5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10" fontId="2" fillId="2" borderId="1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1" fillId="6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0" fontId="2" fillId="7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3" fontId="1" fillId="7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6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3" fontId="1" fillId="0" borderId="3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3" fontId="1" fillId="8" borderId="1" xfId="0" applyNumberFormat="1" applyFont="1" applyFill="1" applyBorder="1" applyAlignment="1">
      <alignment wrapText="1"/>
    </xf>
    <xf numFmtId="49" fontId="1" fillId="8" borderId="1" xfId="0" applyNumberFormat="1" applyFont="1" applyFill="1" applyBorder="1" applyAlignment="1">
      <alignment wrapText="1"/>
    </xf>
    <xf numFmtId="49" fontId="1" fillId="0" borderId="9" xfId="0" applyNumberFormat="1" applyFont="1" applyBorder="1" applyAlignment="1">
      <alignment/>
    </xf>
    <xf numFmtId="49" fontId="1" fillId="0" borderId="13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3" fontId="2" fillId="5" borderId="1" xfId="0" applyNumberFormat="1" applyFont="1" applyFill="1" applyBorder="1" applyAlignment="1">
      <alignment wrapText="1"/>
    </xf>
    <xf numFmtId="0" fontId="0" fillId="5" borderId="0" xfId="0" applyFill="1" applyAlignment="1">
      <alignment/>
    </xf>
    <xf numFmtId="0" fontId="1" fillId="5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10" fontId="3" fillId="2" borderId="1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3" fontId="2" fillId="2" borderId="1" xfId="0" applyNumberFormat="1" applyFont="1" applyFill="1" applyBorder="1" applyAlignment="1" applyProtection="1">
      <alignment wrapText="1"/>
      <protection/>
    </xf>
    <xf numFmtId="3" fontId="2" fillId="3" borderId="1" xfId="0" applyNumberFormat="1" applyFont="1" applyFill="1" applyBorder="1" applyAlignment="1" applyProtection="1">
      <alignment wrapText="1"/>
      <protection/>
    </xf>
    <xf numFmtId="3" fontId="1" fillId="4" borderId="1" xfId="0" applyNumberFormat="1" applyFont="1" applyFill="1" applyBorder="1" applyAlignment="1" applyProtection="1">
      <alignment wrapText="1"/>
      <protection/>
    </xf>
    <xf numFmtId="3" fontId="1" fillId="4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10" fontId="2" fillId="2" borderId="1" xfId="0" applyNumberFormat="1" applyFont="1" applyFill="1" applyBorder="1" applyAlignment="1" applyProtection="1">
      <alignment wrapText="1"/>
      <protection locked="0"/>
    </xf>
    <xf numFmtId="10" fontId="2" fillId="3" borderId="1" xfId="0" applyNumberFormat="1" applyFont="1" applyFill="1" applyBorder="1" applyAlignment="1" applyProtection="1">
      <alignment wrapText="1"/>
      <protection locked="0"/>
    </xf>
    <xf numFmtId="10" fontId="1" fillId="4" borderId="1" xfId="0" applyNumberFormat="1" applyFont="1" applyFill="1" applyBorder="1" applyAlignment="1" applyProtection="1">
      <alignment wrapText="1"/>
      <protection locked="0"/>
    </xf>
    <xf numFmtId="10" fontId="1" fillId="0" borderId="1" xfId="0" applyNumberFormat="1" applyFont="1" applyBorder="1" applyAlignment="1">
      <alignment wrapText="1"/>
    </xf>
    <xf numFmtId="10" fontId="1" fillId="4" borderId="1" xfId="0" applyNumberFormat="1" applyFont="1" applyFill="1" applyBorder="1" applyAlignment="1">
      <alignment wrapText="1"/>
    </xf>
    <xf numFmtId="10" fontId="2" fillId="3" borderId="1" xfId="0" applyNumberFormat="1" applyFont="1" applyFill="1" applyBorder="1" applyAlignment="1">
      <alignment wrapText="1"/>
    </xf>
    <xf numFmtId="10" fontId="2" fillId="3" borderId="1" xfId="0" applyNumberFormat="1" applyFont="1" applyFill="1" applyBorder="1" applyAlignment="1" applyProtection="1">
      <alignment/>
      <protection locked="0"/>
    </xf>
    <xf numFmtId="10" fontId="1" fillId="4" borderId="1" xfId="0" applyNumberFormat="1" applyFont="1" applyFill="1" applyBorder="1" applyAlignment="1" applyProtection="1">
      <alignment/>
      <protection locked="0"/>
    </xf>
    <xf numFmtId="10" fontId="1" fillId="0" borderId="1" xfId="0" applyNumberFormat="1" applyFont="1" applyBorder="1" applyAlignment="1">
      <alignment/>
    </xf>
    <xf numFmtId="10" fontId="1" fillId="4" borderId="1" xfId="0" applyNumberFormat="1" applyFont="1" applyFill="1" applyBorder="1" applyAlignment="1">
      <alignment/>
    </xf>
    <xf numFmtId="10" fontId="2" fillId="3" borderId="1" xfId="0" applyNumberFormat="1" applyFont="1" applyFill="1" applyBorder="1" applyAlignment="1">
      <alignment/>
    </xf>
    <xf numFmtId="49" fontId="2" fillId="2" borderId="9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2" borderId="9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3" fontId="1" fillId="6" borderId="15" xfId="0" applyNumberFormat="1" applyFont="1" applyFill="1" applyBorder="1" applyAlignment="1">
      <alignment wrapText="1"/>
    </xf>
    <xf numFmtId="3" fontId="2" fillId="6" borderId="16" xfId="0" applyNumberFormat="1" applyFont="1" applyFill="1" applyBorder="1" applyAlignment="1">
      <alignment wrapText="1"/>
    </xf>
    <xf numFmtId="3" fontId="1" fillId="6" borderId="17" xfId="0" applyNumberFormat="1" applyFont="1" applyFill="1" applyBorder="1" applyAlignment="1">
      <alignment wrapText="1"/>
    </xf>
    <xf numFmtId="3" fontId="1" fillId="6" borderId="16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4" fontId="1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0" fontId="2" fillId="2" borderId="1" xfId="0" applyNumberFormat="1" applyFont="1" applyFill="1" applyBorder="1" applyAlignment="1">
      <alignment/>
    </xf>
    <xf numFmtId="10" fontId="1" fillId="0" borderId="8" xfId="0" applyNumberFormat="1" applyFont="1" applyBorder="1" applyAlignment="1">
      <alignment/>
    </xf>
    <xf numFmtId="10" fontId="1" fillId="6" borderId="16" xfId="0" applyNumberFormat="1" applyFont="1" applyFill="1" applyBorder="1" applyAlignment="1">
      <alignment wrapText="1"/>
    </xf>
    <xf numFmtId="10" fontId="1" fillId="6" borderId="16" xfId="0" applyNumberFormat="1" applyFont="1" applyFill="1" applyBorder="1" applyAlignment="1">
      <alignment/>
    </xf>
    <xf numFmtId="10" fontId="1" fillId="0" borderId="18" xfId="0" applyNumberFormat="1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9" xfId="0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9" borderId="19" xfId="0" applyFont="1" applyFill="1" applyBorder="1" applyAlignment="1">
      <alignment/>
    </xf>
    <xf numFmtId="0" fontId="3" fillId="9" borderId="20" xfId="0" applyFont="1" applyFill="1" applyBorder="1" applyAlignment="1">
      <alignment/>
    </xf>
    <xf numFmtId="0" fontId="0" fillId="9" borderId="20" xfId="0" applyFill="1" applyBorder="1" applyAlignment="1">
      <alignment/>
    </xf>
    <xf numFmtId="0" fontId="0" fillId="9" borderId="21" xfId="0" applyFill="1" applyBorder="1" applyAlignment="1">
      <alignment/>
    </xf>
    <xf numFmtId="0" fontId="3" fillId="10" borderId="22" xfId="0" applyFont="1" applyFill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14" fillId="1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0" fillId="0" borderId="29" xfId="0" applyBorder="1" applyAlignment="1">
      <alignment/>
    </xf>
    <xf numFmtId="3" fontId="13" fillId="0" borderId="30" xfId="0" applyNumberFormat="1" applyFont="1" applyBorder="1" applyAlignment="1">
      <alignment/>
    </xf>
    <xf numFmtId="0" fontId="15" fillId="11" borderId="22" xfId="0" applyFont="1" applyFill="1" applyBorder="1" applyAlignment="1">
      <alignment horizontal="left"/>
    </xf>
    <xf numFmtId="3" fontId="16" fillId="11" borderId="23" xfId="0" applyNumberFormat="1" applyFont="1" applyFill="1" applyBorder="1" applyAlignment="1">
      <alignment horizontal="center"/>
    </xf>
    <xf numFmtId="3" fontId="16" fillId="11" borderId="24" xfId="0" applyNumberFormat="1" applyFont="1" applyFill="1" applyBorder="1" applyAlignment="1">
      <alignment horizontal="center"/>
    </xf>
    <xf numFmtId="0" fontId="0" fillId="11" borderId="31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32" xfId="0" applyFill="1" applyBorder="1" applyAlignment="1">
      <alignment/>
    </xf>
    <xf numFmtId="0" fontId="0" fillId="10" borderId="31" xfId="0" applyFill="1" applyBorder="1" applyAlignment="1">
      <alignment/>
    </xf>
    <xf numFmtId="0" fontId="0" fillId="12" borderId="0" xfId="0" applyFill="1" applyBorder="1" applyAlignment="1">
      <alignment/>
    </xf>
    <xf numFmtId="0" fontId="3" fillId="10" borderId="0" xfId="0" applyFont="1" applyFill="1" applyBorder="1" applyAlignment="1">
      <alignment/>
    </xf>
    <xf numFmtId="0" fontId="3" fillId="11" borderId="22" xfId="0" applyFont="1" applyFill="1" applyBorder="1" applyAlignment="1">
      <alignment horizontal="center"/>
    </xf>
    <xf numFmtId="169" fontId="13" fillId="8" borderId="9" xfId="0" applyNumberFormat="1" applyFont="1" applyFill="1" applyBorder="1" applyAlignment="1">
      <alignment horizontal="center"/>
    </xf>
    <xf numFmtId="169" fontId="13" fillId="0" borderId="9" xfId="0" applyNumberFormat="1" applyFont="1" applyBorder="1" applyAlignment="1">
      <alignment horizontal="center"/>
    </xf>
    <xf numFmtId="169" fontId="13" fillId="0" borderId="26" xfId="0" applyNumberFormat="1" applyFont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169" fontId="13" fillId="0" borderId="28" xfId="0" applyNumberFormat="1" applyFont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2" xfId="0" applyFill="1" applyBorder="1" applyAlignment="1">
      <alignment/>
    </xf>
    <xf numFmtId="0" fontId="3" fillId="2" borderId="31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22" xfId="0" applyFont="1" applyFill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3" fontId="13" fillId="0" borderId="26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28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0" fontId="15" fillId="2" borderId="22" xfId="0" applyFont="1" applyFill="1" applyBorder="1" applyAlignment="1">
      <alignment horizontal="left"/>
    </xf>
    <xf numFmtId="3" fontId="16" fillId="2" borderId="23" xfId="0" applyNumberFormat="1" applyFont="1" applyFill="1" applyBorder="1" applyAlignment="1">
      <alignment horizontal="center"/>
    </xf>
    <xf numFmtId="3" fontId="16" fillId="2" borderId="24" xfId="0" applyNumberFormat="1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2" borderId="22" xfId="0" applyFont="1" applyFill="1" applyBorder="1" applyAlignment="1">
      <alignment horizontal="left"/>
    </xf>
    <xf numFmtId="3" fontId="14" fillId="2" borderId="23" xfId="0" applyNumberFormat="1" applyFont="1" applyFill="1" applyBorder="1" applyAlignment="1">
      <alignment horizontal="center"/>
    </xf>
    <xf numFmtId="3" fontId="14" fillId="2" borderId="2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3" fontId="1" fillId="6" borderId="1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4" fontId="1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1" fillId="0" borderId="33" xfId="0" applyNumberFormat="1" applyFont="1" applyBorder="1" applyAlignment="1">
      <alignment horizontal="center" wrapText="1"/>
    </xf>
    <xf numFmtId="4" fontId="1" fillId="0" borderId="34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3" fontId="2" fillId="0" borderId="33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1" fillId="0" borderId="33" xfId="0" applyNumberFormat="1" applyFont="1" applyBorder="1" applyAlignment="1">
      <alignment horizontal="center" wrapText="1"/>
    </xf>
    <xf numFmtId="3" fontId="1" fillId="0" borderId="34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" fontId="1" fillId="0" borderId="3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0" borderId="3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33" xfId="0" applyFont="1" applyBorder="1" applyAlignment="1">
      <alignment horizontal="left"/>
    </xf>
    <xf numFmtId="3" fontId="0" fillId="0" borderId="34" xfId="0" applyNumberFormat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3" fontId="9" fillId="0" borderId="33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left"/>
    </xf>
    <xf numFmtId="4" fontId="1" fillId="0" borderId="33" xfId="0" applyNumberFormat="1" applyFont="1" applyFill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1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1" fillId="0" borderId="3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49" fontId="1" fillId="0" borderId="3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3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9" borderId="20" xfId="0" applyFill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kszawa%20-%20program%20naprawczy%20o&#347;wi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 NR 1"/>
      <sheetName val="SP NR 2"/>
      <sheetName val="SP NR 3"/>
      <sheetName val="SP Wydrze"/>
      <sheetName val="SP Węgliska"/>
      <sheetName val="GIMNAZJUM"/>
      <sheetName val="Dowożenie"/>
      <sheetName val="ZEASiP"/>
      <sheetName val="Oddz.Przedsz. Wydrze"/>
      <sheetName val="Odz.Przedsz.Węgliska"/>
      <sheetName val="Oddz.Przedszk.nr3"/>
      <sheetName val="Odz.Przedsz.nr2"/>
      <sheetName val="PRZEDSZKOLE"/>
    </sheetNames>
    <sheetDataSet>
      <sheetData sheetId="0">
        <row r="30">
          <cell r="A30" t="str">
            <v>koszt utrzymania 1 ucznia w 2004</v>
          </cell>
        </row>
        <row r="31">
          <cell r="A31" t="str">
            <v>koszt utrzymania 1 ucznia w 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E10" sqref="E10"/>
    </sheetView>
  </sheetViews>
  <sheetFormatPr defaultColWidth="9.00390625" defaultRowHeight="12.75"/>
  <cols>
    <col min="1" max="1" width="9.00390625" style="0" customWidth="1"/>
    <col min="2" max="2" width="28.00390625" style="0" customWidth="1"/>
    <col min="3" max="3" width="11.125" style="0" customWidth="1"/>
    <col min="4" max="5" width="11.25390625" style="0" customWidth="1"/>
    <col min="6" max="6" width="10.875" style="0" customWidth="1"/>
    <col min="7" max="7" width="9.75390625" style="0" customWidth="1"/>
    <col min="8" max="8" width="11.25390625" style="0" customWidth="1"/>
    <col min="9" max="10" width="11.00390625" style="0" customWidth="1"/>
  </cols>
  <sheetData>
    <row r="1" spans="1:15" ht="12.75">
      <c r="A1" s="119" t="s">
        <v>378</v>
      </c>
      <c r="B1" s="8"/>
      <c r="C1" s="8"/>
      <c r="D1" s="8"/>
      <c r="E1" s="8"/>
      <c r="F1" s="8"/>
      <c r="G1" s="8"/>
      <c r="H1" s="8"/>
      <c r="I1" s="8" t="s">
        <v>379</v>
      </c>
      <c r="J1" s="1"/>
      <c r="K1" s="1"/>
      <c r="L1" s="1"/>
      <c r="M1" s="1"/>
      <c r="N1" s="1"/>
      <c r="O1" s="1"/>
    </row>
    <row r="2" spans="1:15" ht="12.75">
      <c r="A2" s="8"/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</row>
    <row r="4" spans="1:15" s="5" customFormat="1" ht="53.2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  <c r="K4" s="4"/>
      <c r="L4" s="4"/>
      <c r="M4" s="4"/>
      <c r="N4" s="4"/>
      <c r="O4" s="4"/>
    </row>
    <row r="5" spans="1:15" ht="25.5">
      <c r="A5" s="3">
        <v>3020</v>
      </c>
      <c r="B5" s="2" t="s">
        <v>9</v>
      </c>
      <c r="C5" s="110">
        <v>47570.13</v>
      </c>
      <c r="D5" s="110">
        <v>2094.38</v>
      </c>
      <c r="E5" s="111">
        <f aca="true" t="shared" si="0" ref="E5:E23">SUM(C5:D5)</f>
        <v>49664.509999999995</v>
      </c>
      <c r="F5" s="110">
        <v>22411</v>
      </c>
      <c r="G5" s="110">
        <v>35346.78</v>
      </c>
      <c r="H5" s="110">
        <v>6138.49</v>
      </c>
      <c r="I5" s="116">
        <v>42503.56</v>
      </c>
      <c r="J5" s="115">
        <v>56000</v>
      </c>
      <c r="K5" s="1"/>
      <c r="L5" s="1"/>
      <c r="M5" s="1"/>
      <c r="N5" s="1"/>
      <c r="O5" s="1"/>
    </row>
    <row r="6" spans="1:15" ht="12.75">
      <c r="A6" s="3">
        <v>3240</v>
      </c>
      <c r="B6" s="2" t="s">
        <v>352</v>
      </c>
      <c r="C6" s="110"/>
      <c r="D6" s="110"/>
      <c r="E6" s="111"/>
      <c r="F6" s="110">
        <v>400</v>
      </c>
      <c r="G6" s="110">
        <v>172</v>
      </c>
      <c r="H6" s="110">
        <v>0</v>
      </c>
      <c r="I6" s="116">
        <v>172</v>
      </c>
      <c r="J6" s="115">
        <v>400</v>
      </c>
      <c r="K6" s="1"/>
      <c r="L6" s="1"/>
      <c r="M6" s="1"/>
      <c r="N6" s="1"/>
      <c r="O6" s="1"/>
    </row>
    <row r="7" spans="1:15" ht="23.25" customHeight="1">
      <c r="A7" s="3">
        <v>4010</v>
      </c>
      <c r="B7" s="2" t="s">
        <v>10</v>
      </c>
      <c r="C7" s="110">
        <v>665762.43</v>
      </c>
      <c r="D7" s="110">
        <v>134698.45</v>
      </c>
      <c r="E7" s="111">
        <f t="shared" si="0"/>
        <v>800460.8800000001</v>
      </c>
      <c r="F7" s="110">
        <v>639960</v>
      </c>
      <c r="G7" s="110">
        <v>416321.48</v>
      </c>
      <c r="H7" s="110">
        <v>187639.56</v>
      </c>
      <c r="I7" s="116">
        <v>498962.59</v>
      </c>
      <c r="J7" s="115">
        <v>787000</v>
      </c>
      <c r="K7" s="1"/>
      <c r="L7" s="1"/>
      <c r="M7" s="1"/>
      <c r="N7" s="1"/>
      <c r="O7" s="1"/>
    </row>
    <row r="8" spans="1:15" ht="16.5" customHeight="1">
      <c r="A8" s="3">
        <v>4040</v>
      </c>
      <c r="B8" s="2" t="s">
        <v>11</v>
      </c>
      <c r="C8" s="110">
        <v>53451.01</v>
      </c>
      <c r="D8" s="110">
        <v>57774.78</v>
      </c>
      <c r="E8" s="111">
        <f t="shared" si="0"/>
        <v>111225.79000000001</v>
      </c>
      <c r="F8" s="110">
        <v>57700</v>
      </c>
      <c r="G8" s="110">
        <v>47824.13</v>
      </c>
      <c r="H8" s="110">
        <v>12789.06</v>
      </c>
      <c r="I8" s="116">
        <v>47824.13</v>
      </c>
      <c r="J8" s="115">
        <v>65000</v>
      </c>
      <c r="K8" s="1"/>
      <c r="L8" s="1"/>
      <c r="M8" s="1"/>
      <c r="N8" s="1"/>
      <c r="O8" s="1"/>
    </row>
    <row r="9" spans="1:15" ht="25.5">
      <c r="A9" s="3">
        <v>4110</v>
      </c>
      <c r="B9" s="2" t="s">
        <v>12</v>
      </c>
      <c r="C9" s="110">
        <v>140403.56</v>
      </c>
      <c r="D9" s="110">
        <v>83977.68</v>
      </c>
      <c r="E9" s="111">
        <f t="shared" si="0"/>
        <v>224381.24</v>
      </c>
      <c r="F9" s="110">
        <v>150289</v>
      </c>
      <c r="G9" s="110">
        <v>73359.62</v>
      </c>
      <c r="H9" s="110">
        <v>94412.18</v>
      </c>
      <c r="I9" s="116">
        <v>89665.68</v>
      </c>
      <c r="J9" s="115">
        <v>225000</v>
      </c>
      <c r="K9" s="1"/>
      <c r="L9" s="1"/>
      <c r="M9" s="1"/>
      <c r="N9" s="1"/>
      <c r="O9" s="1"/>
    </row>
    <row r="10" spans="1:15" ht="15" customHeight="1">
      <c r="A10" s="3">
        <v>4120</v>
      </c>
      <c r="B10" s="2" t="s">
        <v>13</v>
      </c>
      <c r="C10" s="110">
        <v>18034.75</v>
      </c>
      <c r="D10" s="110">
        <v>20964.08</v>
      </c>
      <c r="E10" s="111">
        <f t="shared" si="0"/>
        <v>38998.83</v>
      </c>
      <c r="F10" s="110">
        <v>25100</v>
      </c>
      <c r="G10" s="110">
        <v>8128.12</v>
      </c>
      <c r="H10" s="110">
        <v>24555.81</v>
      </c>
      <c r="I10" s="116">
        <v>10326.33</v>
      </c>
      <c r="J10" s="115">
        <v>44000</v>
      </c>
      <c r="K10" s="1"/>
      <c r="L10" s="1"/>
      <c r="M10" s="1"/>
      <c r="N10" s="1"/>
      <c r="O10" s="1"/>
    </row>
    <row r="11" spans="1:15" ht="12.75">
      <c r="A11" s="3">
        <v>4210</v>
      </c>
      <c r="B11" s="2" t="s">
        <v>14</v>
      </c>
      <c r="C11" s="110">
        <v>7776.78</v>
      </c>
      <c r="D11" s="110">
        <v>819.84</v>
      </c>
      <c r="E11" s="111">
        <f t="shared" si="0"/>
        <v>8596.619999999999</v>
      </c>
      <c r="F11" s="110">
        <v>1386</v>
      </c>
      <c r="G11" s="110">
        <v>3672.27</v>
      </c>
      <c r="H11" s="110">
        <v>5545.17</v>
      </c>
      <c r="I11" s="116">
        <v>8830</v>
      </c>
      <c r="J11" s="115">
        <v>8000</v>
      </c>
      <c r="K11" s="1"/>
      <c r="L11" s="1"/>
      <c r="M11" s="1"/>
      <c r="N11" s="1"/>
      <c r="O11" s="1"/>
    </row>
    <row r="12" spans="1:15" ht="25.5">
      <c r="A12" s="3">
        <v>4240</v>
      </c>
      <c r="B12" s="2" t="s">
        <v>15</v>
      </c>
      <c r="C12" s="110"/>
      <c r="D12" s="110"/>
      <c r="E12" s="111">
        <f t="shared" si="0"/>
        <v>0</v>
      </c>
      <c r="F12" s="110">
        <v>842</v>
      </c>
      <c r="G12" s="110">
        <v>841.12</v>
      </c>
      <c r="H12" s="110">
        <v>535</v>
      </c>
      <c r="I12" s="116">
        <v>1376</v>
      </c>
      <c r="J12" s="115">
        <v>2200</v>
      </c>
      <c r="K12" s="1"/>
      <c r="L12" s="1"/>
      <c r="M12" s="1"/>
      <c r="N12" s="1"/>
      <c r="O12" s="1"/>
    </row>
    <row r="13" spans="1:15" ht="12.75">
      <c r="A13" s="3">
        <v>4260</v>
      </c>
      <c r="B13" s="2" t="s">
        <v>16</v>
      </c>
      <c r="C13" s="110">
        <v>117509.12</v>
      </c>
      <c r="D13" s="110">
        <v>21648.18</v>
      </c>
      <c r="E13" s="111">
        <f t="shared" si="0"/>
        <v>139157.3</v>
      </c>
      <c r="F13" s="110">
        <v>72197</v>
      </c>
      <c r="G13" s="110">
        <v>65507.38</v>
      </c>
      <c r="H13" s="110">
        <v>3436.97</v>
      </c>
      <c r="I13" s="116">
        <v>67700</v>
      </c>
      <c r="J13" s="115">
        <v>54000</v>
      </c>
      <c r="K13" s="1"/>
      <c r="L13" s="1"/>
      <c r="M13" s="1"/>
      <c r="N13" s="1"/>
      <c r="O13" s="1"/>
    </row>
    <row r="14" spans="1:15" ht="12.75">
      <c r="A14" s="3">
        <v>4270</v>
      </c>
      <c r="B14" s="2" t="s">
        <v>17</v>
      </c>
      <c r="C14" s="110"/>
      <c r="D14" s="110"/>
      <c r="E14" s="111">
        <f t="shared" si="0"/>
        <v>0</v>
      </c>
      <c r="F14" s="110">
        <v>0</v>
      </c>
      <c r="G14" s="110">
        <v>0</v>
      </c>
      <c r="H14" s="110">
        <v>0</v>
      </c>
      <c r="I14" s="7">
        <v>0</v>
      </c>
      <c r="J14" s="3">
        <v>2000</v>
      </c>
      <c r="K14" s="1"/>
      <c r="L14" s="1"/>
      <c r="M14" s="1"/>
      <c r="N14" s="1"/>
      <c r="O14" s="1"/>
    </row>
    <row r="15" spans="1:15" ht="12.75">
      <c r="A15" s="3">
        <v>4280</v>
      </c>
      <c r="B15" s="2" t="s">
        <v>18</v>
      </c>
      <c r="C15" s="110"/>
      <c r="D15" s="110"/>
      <c r="E15" s="111">
        <f t="shared" si="0"/>
        <v>0</v>
      </c>
      <c r="F15" s="110">
        <v>0</v>
      </c>
      <c r="G15" s="110">
        <v>0</v>
      </c>
      <c r="H15" s="110">
        <v>0</v>
      </c>
      <c r="I15" s="7">
        <v>0</v>
      </c>
      <c r="J15" s="3"/>
      <c r="K15" s="1"/>
      <c r="L15" s="1"/>
      <c r="M15" s="1"/>
      <c r="N15" s="1"/>
      <c r="O15" s="1"/>
    </row>
    <row r="16" spans="1:15" ht="12.75">
      <c r="A16" s="3">
        <v>4300</v>
      </c>
      <c r="B16" s="2" t="s">
        <v>19</v>
      </c>
      <c r="C16" s="110">
        <v>19932.72</v>
      </c>
      <c r="D16" s="110">
        <v>1354.48</v>
      </c>
      <c r="E16" s="111">
        <f t="shared" si="0"/>
        <v>21287.2</v>
      </c>
      <c r="F16" s="110">
        <v>13276</v>
      </c>
      <c r="G16" s="110">
        <v>10589.83</v>
      </c>
      <c r="H16" s="110">
        <v>2908.08</v>
      </c>
      <c r="I16" s="116">
        <v>14000</v>
      </c>
      <c r="J16" s="115">
        <v>16200</v>
      </c>
      <c r="K16" s="1"/>
      <c r="L16" s="1"/>
      <c r="M16" s="1"/>
      <c r="N16" s="1"/>
      <c r="O16" s="1"/>
    </row>
    <row r="17" spans="1:15" ht="12.75">
      <c r="A17" s="3">
        <v>4410</v>
      </c>
      <c r="B17" s="2" t="s">
        <v>20</v>
      </c>
      <c r="C17" s="110"/>
      <c r="D17" s="110"/>
      <c r="E17" s="111">
        <f t="shared" si="0"/>
        <v>0</v>
      </c>
      <c r="F17" s="110">
        <v>40</v>
      </c>
      <c r="G17" s="110">
        <v>0</v>
      </c>
      <c r="H17" s="110"/>
      <c r="I17" s="7">
        <v>20</v>
      </c>
      <c r="J17" s="3">
        <v>560</v>
      </c>
      <c r="K17" s="1"/>
      <c r="L17" s="1"/>
      <c r="M17" s="1"/>
      <c r="N17" s="1"/>
      <c r="O17" s="1"/>
    </row>
    <row r="18" spans="1:15" ht="25.5">
      <c r="A18" s="3">
        <v>4440</v>
      </c>
      <c r="B18" s="2" t="s">
        <v>21</v>
      </c>
      <c r="C18" s="110">
        <v>59890</v>
      </c>
      <c r="D18" s="110"/>
      <c r="E18" s="111">
        <f t="shared" si="0"/>
        <v>59890</v>
      </c>
      <c r="F18" s="110">
        <v>0</v>
      </c>
      <c r="G18" s="110">
        <v>0</v>
      </c>
      <c r="H18" s="110">
        <v>37644.32</v>
      </c>
      <c r="I18" s="7">
        <v>0</v>
      </c>
      <c r="J18" s="115">
        <v>78734</v>
      </c>
      <c r="K18" s="1"/>
      <c r="L18" s="1"/>
      <c r="M18" s="1"/>
      <c r="N18" s="1"/>
      <c r="O18" s="1"/>
    </row>
    <row r="19" spans="1:15" ht="21" customHeight="1">
      <c r="A19" s="3">
        <v>4430</v>
      </c>
      <c r="B19" s="2" t="s">
        <v>353</v>
      </c>
      <c r="C19" s="110">
        <v>20</v>
      </c>
      <c r="D19" s="110"/>
      <c r="E19" s="111">
        <v>20</v>
      </c>
      <c r="F19" s="110">
        <v>10846</v>
      </c>
      <c r="G19" s="110">
        <v>10846</v>
      </c>
      <c r="H19" s="110"/>
      <c r="I19" s="116">
        <v>10846</v>
      </c>
      <c r="J19" s="115">
        <v>306</v>
      </c>
      <c r="K19" s="1"/>
      <c r="L19" s="1"/>
      <c r="M19" s="1"/>
      <c r="N19" s="1"/>
      <c r="O19" s="1"/>
    </row>
    <row r="20" spans="1:15" ht="12.75">
      <c r="A20" s="3">
        <v>4580</v>
      </c>
      <c r="B20" s="2" t="s">
        <v>354</v>
      </c>
      <c r="C20" s="110"/>
      <c r="D20" s="110"/>
      <c r="E20" s="111"/>
      <c r="F20" s="110">
        <v>0</v>
      </c>
      <c r="G20" s="110">
        <v>2713.32</v>
      </c>
      <c r="H20" s="110">
        <v>9.91</v>
      </c>
      <c r="I20" s="116">
        <v>2762.91</v>
      </c>
      <c r="J20" s="3">
        <v>0</v>
      </c>
      <c r="K20" s="1"/>
      <c r="L20" s="1"/>
      <c r="M20" s="1"/>
      <c r="N20" s="1"/>
      <c r="O20" s="1"/>
    </row>
    <row r="21" spans="1:15" ht="12.75">
      <c r="A21" s="3">
        <v>4610</v>
      </c>
      <c r="B21" s="2" t="s">
        <v>355</v>
      </c>
      <c r="C21" s="110"/>
      <c r="D21" s="110"/>
      <c r="E21" s="111"/>
      <c r="F21" s="110">
        <v>0</v>
      </c>
      <c r="G21" s="110">
        <v>52.8</v>
      </c>
      <c r="H21" s="110">
        <v>0</v>
      </c>
      <c r="I21" s="116">
        <v>52.8</v>
      </c>
      <c r="J21" s="3">
        <v>0</v>
      </c>
      <c r="K21" s="1"/>
      <c r="L21" s="1"/>
      <c r="M21" s="1"/>
      <c r="N21" s="1"/>
      <c r="O21" s="1"/>
    </row>
    <row r="22" spans="1:15" ht="25.5">
      <c r="A22" s="3">
        <v>6050</v>
      </c>
      <c r="B22" s="2" t="s">
        <v>23</v>
      </c>
      <c r="C22" s="110"/>
      <c r="D22" s="110"/>
      <c r="E22" s="111">
        <f t="shared" si="0"/>
        <v>0</v>
      </c>
      <c r="F22" s="110"/>
      <c r="G22" s="110"/>
      <c r="H22" s="110"/>
      <c r="I22" s="7"/>
      <c r="J22" s="3"/>
      <c r="K22" s="1"/>
      <c r="L22" s="1"/>
      <c r="M22" s="1"/>
      <c r="N22" s="1"/>
      <c r="O22" s="1"/>
    </row>
    <row r="23" spans="1:15" ht="25.5">
      <c r="A23" s="3">
        <v>6060</v>
      </c>
      <c r="B23" s="2" t="s">
        <v>22</v>
      </c>
      <c r="C23" s="110"/>
      <c r="D23" s="110"/>
      <c r="E23" s="111">
        <f t="shared" si="0"/>
        <v>0</v>
      </c>
      <c r="F23" s="110"/>
      <c r="G23" s="110"/>
      <c r="H23" s="110"/>
      <c r="I23" s="7"/>
      <c r="J23" s="3"/>
      <c r="K23" s="1"/>
      <c r="L23" s="1"/>
      <c r="M23" s="1"/>
      <c r="N23" s="1"/>
      <c r="O23" s="1"/>
    </row>
    <row r="24" spans="1:15" ht="12.75">
      <c r="A24" s="196" t="s">
        <v>34</v>
      </c>
      <c r="B24" s="197"/>
      <c r="C24" s="112">
        <f aca="true" t="shared" si="1" ref="C24:J24">SUM(C5:C23)</f>
        <v>1130350.5000000002</v>
      </c>
      <c r="D24" s="112">
        <f t="shared" si="1"/>
        <v>323331.87000000005</v>
      </c>
      <c r="E24" s="112">
        <f t="shared" si="1"/>
        <v>1453682.3700000003</v>
      </c>
      <c r="F24" s="112">
        <f t="shared" si="1"/>
        <v>994447</v>
      </c>
      <c r="G24" s="112">
        <f t="shared" si="1"/>
        <v>675374.85</v>
      </c>
      <c r="H24" s="112">
        <f t="shared" si="1"/>
        <v>375614.54999999993</v>
      </c>
      <c r="I24" s="112">
        <f t="shared" si="1"/>
        <v>795042</v>
      </c>
      <c r="J24" s="112">
        <f t="shared" si="1"/>
        <v>1339400</v>
      </c>
      <c r="K24" s="1"/>
      <c r="L24" s="1"/>
      <c r="M24" s="1"/>
      <c r="N24" s="1"/>
      <c r="O24" s="1"/>
    </row>
    <row r="25" spans="1:15" ht="12.75">
      <c r="A25" s="198"/>
      <c r="B25" s="199"/>
      <c r="C25" s="199"/>
      <c r="D25" s="199"/>
      <c r="E25" s="199"/>
      <c r="F25" s="199"/>
      <c r="G25" s="199"/>
      <c r="H25" s="199"/>
      <c r="I25" s="199"/>
      <c r="J25" s="200"/>
      <c r="K25" s="1"/>
      <c r="L25" s="1"/>
      <c r="M25" s="1"/>
      <c r="N25" s="1"/>
      <c r="O25" s="1"/>
    </row>
    <row r="26" spans="1:15" ht="12.75">
      <c r="A26" s="198" t="s">
        <v>26</v>
      </c>
      <c r="B26" s="200"/>
      <c r="C26" s="206">
        <v>290</v>
      </c>
      <c r="D26" s="207"/>
      <c r="E26" s="207"/>
      <c r="F26" s="207"/>
      <c r="G26" s="207"/>
      <c r="H26" s="207"/>
      <c r="I26" s="207"/>
      <c r="J26" s="208"/>
      <c r="K26" s="1"/>
      <c r="L26" s="1"/>
      <c r="M26" s="1"/>
      <c r="N26" s="1"/>
      <c r="O26" s="1"/>
    </row>
    <row r="27" spans="1:15" ht="12.75">
      <c r="A27" s="198" t="s">
        <v>27</v>
      </c>
      <c r="B27" s="200"/>
      <c r="C27" s="209">
        <v>276</v>
      </c>
      <c r="D27" s="210"/>
      <c r="E27" s="210"/>
      <c r="F27" s="210"/>
      <c r="G27" s="210"/>
      <c r="H27" s="210"/>
      <c r="I27" s="210"/>
      <c r="J27" s="211"/>
      <c r="K27" s="1"/>
      <c r="L27" s="1"/>
      <c r="M27" s="1"/>
      <c r="N27" s="1"/>
      <c r="O27" s="1"/>
    </row>
    <row r="28" spans="1:15" ht="12.75">
      <c r="A28" s="3" t="s">
        <v>28</v>
      </c>
      <c r="B28" s="3"/>
      <c r="C28" s="201">
        <v>4235.15</v>
      </c>
      <c r="D28" s="204"/>
      <c r="E28" s="204"/>
      <c r="F28" s="204"/>
      <c r="G28" s="204"/>
      <c r="H28" s="204"/>
      <c r="I28" s="204"/>
      <c r="J28" s="205"/>
      <c r="K28" s="1"/>
      <c r="L28" s="1"/>
      <c r="M28" s="1"/>
      <c r="N28" s="1"/>
      <c r="O28" s="1"/>
    </row>
    <row r="29" spans="1:15" ht="12.75">
      <c r="A29" s="3" t="s">
        <v>29</v>
      </c>
      <c r="B29" s="3"/>
      <c r="C29" s="201">
        <v>4106.85</v>
      </c>
      <c r="D29" s="204"/>
      <c r="E29" s="204"/>
      <c r="F29" s="204"/>
      <c r="G29" s="204"/>
      <c r="H29" s="204"/>
      <c r="I29" s="204"/>
      <c r="J29" s="205"/>
      <c r="K29" s="1"/>
      <c r="L29" s="1"/>
      <c r="M29" s="1"/>
      <c r="N29" s="1"/>
      <c r="O29" s="1"/>
    </row>
    <row r="30" spans="1:15" ht="12.75">
      <c r="A30" s="198" t="s">
        <v>356</v>
      </c>
      <c r="B30" s="200"/>
      <c r="C30" s="201">
        <f>(G24+I24+H24)/C27</f>
        <v>6688.519565217391</v>
      </c>
      <c r="D30" s="202"/>
      <c r="E30" s="202"/>
      <c r="F30" s="202"/>
      <c r="G30" s="202"/>
      <c r="H30" s="202"/>
      <c r="I30" s="202"/>
      <c r="J30" s="203"/>
      <c r="K30" s="1"/>
      <c r="L30" s="1"/>
      <c r="M30" s="1"/>
      <c r="N30" s="1"/>
      <c r="O30" s="1"/>
    </row>
    <row r="31" spans="1:10" ht="12.75">
      <c r="A31" s="198" t="s">
        <v>357</v>
      </c>
      <c r="B31" s="200"/>
      <c r="C31" s="201">
        <f>J24/C37</f>
        <v>4852.898550724638</v>
      </c>
      <c r="D31" s="202"/>
      <c r="E31" s="202"/>
      <c r="F31" s="202"/>
      <c r="G31" s="202"/>
      <c r="H31" s="202"/>
      <c r="I31" s="202"/>
      <c r="J31" s="203"/>
    </row>
    <row r="32" spans="1:10" ht="12.75">
      <c r="A32" s="198" t="s">
        <v>30</v>
      </c>
      <c r="B32" s="212"/>
      <c r="C32" s="201">
        <v>1207017.75</v>
      </c>
      <c r="D32" s="204"/>
      <c r="E32" s="204"/>
      <c r="F32" s="204"/>
      <c r="G32" s="204"/>
      <c r="H32" s="204"/>
      <c r="I32" s="204"/>
      <c r="J32" s="205"/>
    </row>
    <row r="33" spans="1:10" ht="12.75">
      <c r="A33" s="198" t="s">
        <v>31</v>
      </c>
      <c r="B33" s="212"/>
      <c r="C33" s="201">
        <v>1133490.6</v>
      </c>
      <c r="D33" s="204"/>
      <c r="E33" s="204"/>
      <c r="F33" s="204"/>
      <c r="G33" s="204"/>
      <c r="H33" s="204"/>
      <c r="I33" s="204"/>
      <c r="J33" s="205"/>
    </row>
    <row r="34" spans="1:10" ht="12.75">
      <c r="A34" s="3" t="s">
        <v>32</v>
      </c>
      <c r="B34" s="3"/>
      <c r="C34" s="201">
        <v>248725.2</v>
      </c>
      <c r="D34" s="204"/>
      <c r="E34" s="204"/>
      <c r="F34" s="204"/>
      <c r="G34" s="204"/>
      <c r="H34" s="204"/>
      <c r="I34" s="204"/>
      <c r="J34" s="205"/>
    </row>
    <row r="35" spans="1:10" ht="12.75">
      <c r="A35" s="3" t="s">
        <v>33</v>
      </c>
      <c r="B35" s="3"/>
      <c r="C35" s="201">
        <f>J24-C33</f>
        <v>205909.3999999999</v>
      </c>
      <c r="D35" s="204"/>
      <c r="E35" s="204"/>
      <c r="F35" s="204"/>
      <c r="G35" s="204"/>
      <c r="H35" s="204"/>
      <c r="I35" s="204"/>
      <c r="J35" s="205"/>
    </row>
    <row r="36" spans="1:10" ht="12.75">
      <c r="A36" s="213" t="s">
        <v>358</v>
      </c>
      <c r="B36" s="214"/>
      <c r="C36" s="215">
        <v>285</v>
      </c>
      <c r="D36" s="216"/>
      <c r="E36" s="216"/>
      <c r="F36" s="216"/>
      <c r="G36" s="216"/>
      <c r="H36" s="216"/>
      <c r="I36" s="216"/>
      <c r="J36" s="217"/>
    </row>
    <row r="37" spans="1:10" ht="12.75">
      <c r="A37" s="218" t="s">
        <v>359</v>
      </c>
      <c r="B37" s="191"/>
      <c r="C37" s="215">
        <v>276</v>
      </c>
      <c r="D37" s="216"/>
      <c r="E37" s="216"/>
      <c r="F37" s="216"/>
      <c r="G37" s="216"/>
      <c r="H37" s="216"/>
      <c r="I37" s="216"/>
      <c r="J37" s="217"/>
    </row>
  </sheetData>
  <mergeCells count="22">
    <mergeCell ref="A36:B36"/>
    <mergeCell ref="C36:J36"/>
    <mergeCell ref="A37:B37"/>
    <mergeCell ref="C37:J37"/>
    <mergeCell ref="A33:B33"/>
    <mergeCell ref="C33:J33"/>
    <mergeCell ref="C34:J34"/>
    <mergeCell ref="C35:J35"/>
    <mergeCell ref="A31:B31"/>
    <mergeCell ref="C31:J31"/>
    <mergeCell ref="A32:B32"/>
    <mergeCell ref="C32:J32"/>
    <mergeCell ref="A24:B24"/>
    <mergeCell ref="A25:J25"/>
    <mergeCell ref="A30:B30"/>
    <mergeCell ref="C30:J30"/>
    <mergeCell ref="C28:J28"/>
    <mergeCell ref="C29:J29"/>
    <mergeCell ref="A26:B26"/>
    <mergeCell ref="A27:B27"/>
    <mergeCell ref="C26:J26"/>
    <mergeCell ref="C27:J27"/>
  </mergeCells>
  <printOptions/>
  <pageMargins left="0.75" right="0.75" top="1" bottom="1" header="0.5" footer="0.5"/>
  <pageSetup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K9" sqref="K9"/>
    </sheetView>
  </sheetViews>
  <sheetFormatPr defaultColWidth="9.00390625" defaultRowHeight="12.75"/>
  <cols>
    <col min="1" max="1" width="7.75390625" style="0" customWidth="1"/>
    <col min="2" max="2" width="31.625" style="0" customWidth="1"/>
    <col min="3" max="3" width="10.375" style="0" customWidth="1"/>
    <col min="4" max="4" width="11.75390625" style="0" customWidth="1"/>
    <col min="5" max="5" width="11.875" style="0" customWidth="1"/>
    <col min="6" max="6" width="11.00390625" style="0" customWidth="1"/>
    <col min="7" max="7" width="10.625" style="0" customWidth="1"/>
    <col min="8" max="8" width="10.375" style="0" customWidth="1"/>
    <col min="9" max="9" width="10.875" style="0" customWidth="1"/>
    <col min="10" max="10" width="10.00390625" style="0" customWidth="1"/>
  </cols>
  <sheetData>
    <row r="1" spans="1:10" ht="12.75">
      <c r="A1" s="8" t="s">
        <v>375</v>
      </c>
      <c r="B1" s="8"/>
      <c r="C1" s="8"/>
      <c r="D1" s="8"/>
      <c r="E1" s="8"/>
      <c r="F1" s="8"/>
      <c r="G1" s="8"/>
      <c r="H1" s="8"/>
      <c r="I1" s="8"/>
      <c r="J1" s="1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1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1"/>
    </row>
    <row r="4" spans="1:10" ht="53.2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</row>
    <row r="5" spans="1:10" ht="27" customHeight="1">
      <c r="A5" s="3">
        <v>3020</v>
      </c>
      <c r="B5" s="2" t="s">
        <v>9</v>
      </c>
      <c r="C5" s="115">
        <v>2442.08</v>
      </c>
      <c r="D5" s="115">
        <v>123.48</v>
      </c>
      <c r="E5" s="116">
        <f aca="true" t="shared" si="0" ref="E5:E20">SUM(C5:D5)</f>
        <v>2565.56</v>
      </c>
      <c r="F5" s="115">
        <v>1239.01</v>
      </c>
      <c r="G5" s="115">
        <v>2038.04</v>
      </c>
      <c r="H5" s="115">
        <v>201.45</v>
      </c>
      <c r="I5" s="116">
        <v>423.2</v>
      </c>
      <c r="J5" s="115">
        <v>3100</v>
      </c>
    </row>
    <row r="6" spans="1:10" ht="18.75" customHeight="1">
      <c r="A6" s="3">
        <v>4010</v>
      </c>
      <c r="B6" s="2" t="s">
        <v>10</v>
      </c>
      <c r="C6" s="115">
        <v>29609.35</v>
      </c>
      <c r="D6" s="115">
        <v>7858.74</v>
      </c>
      <c r="E6" s="116">
        <f t="shared" si="0"/>
        <v>37468.09</v>
      </c>
      <c r="F6" s="115">
        <v>37510</v>
      </c>
      <c r="G6" s="115">
        <v>26681.47</v>
      </c>
      <c r="H6" s="115">
        <v>1943.24</v>
      </c>
      <c r="I6" s="116">
        <v>4081.72</v>
      </c>
      <c r="J6" s="115">
        <v>31000</v>
      </c>
    </row>
    <row r="7" spans="1:10" ht="21.75" customHeight="1">
      <c r="A7" s="3">
        <v>4040</v>
      </c>
      <c r="B7" s="2" t="s">
        <v>11</v>
      </c>
      <c r="C7" s="115">
        <v>2731.1</v>
      </c>
      <c r="D7" s="115">
        <v>2760.99</v>
      </c>
      <c r="E7" s="116">
        <f t="shared" si="0"/>
        <v>5492.09</v>
      </c>
      <c r="F7" s="115">
        <v>2760.99</v>
      </c>
      <c r="G7" s="115">
        <v>2760.99</v>
      </c>
      <c r="H7" s="115">
        <v>0</v>
      </c>
      <c r="I7" s="116">
        <v>2760.99</v>
      </c>
      <c r="J7" s="115">
        <v>3000</v>
      </c>
    </row>
    <row r="8" spans="1:10" ht="20.25" customHeight="1">
      <c r="A8" s="3">
        <v>4110</v>
      </c>
      <c r="B8" s="2" t="s">
        <v>12</v>
      </c>
      <c r="C8" s="115">
        <v>6616.9</v>
      </c>
      <c r="D8" s="115">
        <v>5022.12</v>
      </c>
      <c r="E8" s="116">
        <f t="shared" si="0"/>
        <v>11639.02</v>
      </c>
      <c r="F8" s="115">
        <v>10200</v>
      </c>
      <c r="G8" s="115">
        <v>7921.59</v>
      </c>
      <c r="H8" s="115">
        <v>1215.66</v>
      </c>
      <c r="I8" s="116">
        <v>810.44</v>
      </c>
      <c r="J8" s="115">
        <v>9000</v>
      </c>
    </row>
    <row r="9" spans="1:10" ht="21.75" customHeight="1">
      <c r="A9" s="3">
        <v>4120</v>
      </c>
      <c r="B9" s="2" t="s">
        <v>13</v>
      </c>
      <c r="C9" s="115">
        <v>901.99</v>
      </c>
      <c r="D9" s="115">
        <v>933.25</v>
      </c>
      <c r="E9" s="116">
        <f t="shared" si="0"/>
        <v>1835.24</v>
      </c>
      <c r="F9" s="115">
        <v>1400</v>
      </c>
      <c r="G9" s="115">
        <v>1328.12</v>
      </c>
      <c r="H9" s="115">
        <v>165.57</v>
      </c>
      <c r="I9" s="116">
        <v>110.38</v>
      </c>
      <c r="J9" s="115">
        <v>1100</v>
      </c>
    </row>
    <row r="10" spans="1:10" ht="20.25" customHeight="1">
      <c r="A10" s="3">
        <v>4210</v>
      </c>
      <c r="B10" s="2" t="s">
        <v>14</v>
      </c>
      <c r="C10" s="115">
        <v>428.94</v>
      </c>
      <c r="D10" s="115">
        <v>0</v>
      </c>
      <c r="E10" s="116">
        <f t="shared" si="0"/>
        <v>428.94</v>
      </c>
      <c r="F10" s="115">
        <v>0</v>
      </c>
      <c r="G10" s="115">
        <v>0</v>
      </c>
      <c r="H10" s="115">
        <v>0</v>
      </c>
      <c r="I10" s="116">
        <v>0</v>
      </c>
      <c r="J10" s="115">
        <v>500</v>
      </c>
    </row>
    <row r="11" spans="1:10" ht="30.75" customHeight="1">
      <c r="A11" s="3">
        <v>4240</v>
      </c>
      <c r="B11" s="2" t="s">
        <v>15</v>
      </c>
      <c r="C11" s="115">
        <v>0</v>
      </c>
      <c r="D11" s="115">
        <v>0</v>
      </c>
      <c r="E11" s="116">
        <f t="shared" si="0"/>
        <v>0</v>
      </c>
      <c r="F11" s="115">
        <v>0</v>
      </c>
      <c r="G11" s="115">
        <v>0</v>
      </c>
      <c r="H11" s="115">
        <v>0</v>
      </c>
      <c r="I11" s="116">
        <v>0</v>
      </c>
      <c r="J11" s="115">
        <v>950</v>
      </c>
    </row>
    <row r="12" spans="1:10" ht="20.25" customHeight="1">
      <c r="A12" s="3">
        <v>4260</v>
      </c>
      <c r="B12" s="2" t="s">
        <v>16</v>
      </c>
      <c r="C12" s="115">
        <v>0</v>
      </c>
      <c r="D12" s="115">
        <v>0</v>
      </c>
      <c r="E12" s="116">
        <f t="shared" si="0"/>
        <v>0</v>
      </c>
      <c r="F12" s="115">
        <v>0</v>
      </c>
      <c r="G12" s="115">
        <v>0</v>
      </c>
      <c r="H12" s="115">
        <v>0</v>
      </c>
      <c r="I12" s="116">
        <v>0</v>
      </c>
      <c r="J12" s="115">
        <v>0</v>
      </c>
    </row>
    <row r="13" spans="1:10" ht="18" customHeight="1">
      <c r="A13" s="3">
        <v>4270</v>
      </c>
      <c r="B13" s="2" t="s">
        <v>17</v>
      </c>
      <c r="C13" s="115">
        <v>0</v>
      </c>
      <c r="D13" s="115">
        <v>0</v>
      </c>
      <c r="E13" s="116">
        <f t="shared" si="0"/>
        <v>0</v>
      </c>
      <c r="F13" s="115">
        <v>0</v>
      </c>
      <c r="G13" s="115">
        <v>0</v>
      </c>
      <c r="H13" s="115">
        <v>0</v>
      </c>
      <c r="I13" s="116">
        <v>0</v>
      </c>
      <c r="J13" s="115">
        <v>0</v>
      </c>
    </row>
    <row r="14" spans="1:10" ht="20.25" customHeight="1">
      <c r="A14" s="3">
        <v>4280</v>
      </c>
      <c r="B14" s="2" t="s">
        <v>18</v>
      </c>
      <c r="C14" s="115">
        <v>0</v>
      </c>
      <c r="D14" s="115">
        <v>0</v>
      </c>
      <c r="E14" s="116">
        <f t="shared" si="0"/>
        <v>0</v>
      </c>
      <c r="F14" s="115">
        <v>0</v>
      </c>
      <c r="G14" s="115">
        <v>0</v>
      </c>
      <c r="H14" s="115">
        <v>0</v>
      </c>
      <c r="I14" s="116">
        <v>0</v>
      </c>
      <c r="J14" s="115">
        <v>0</v>
      </c>
    </row>
    <row r="15" spans="1:10" ht="18" customHeight="1">
      <c r="A15" s="3">
        <v>4300</v>
      </c>
      <c r="B15" s="2" t="s">
        <v>19</v>
      </c>
      <c r="C15" s="115">
        <v>154.05</v>
      </c>
      <c r="D15" s="115">
        <v>0</v>
      </c>
      <c r="E15" s="116">
        <f t="shared" si="0"/>
        <v>154.05</v>
      </c>
      <c r="F15" s="115">
        <v>100</v>
      </c>
      <c r="G15" s="115">
        <v>63.89</v>
      </c>
      <c r="H15" s="115">
        <v>0</v>
      </c>
      <c r="I15" s="116">
        <v>100</v>
      </c>
      <c r="J15" s="115">
        <v>200</v>
      </c>
    </row>
    <row r="16" spans="1:10" ht="19.5" customHeight="1">
      <c r="A16" s="3">
        <v>4410</v>
      </c>
      <c r="B16" s="2" t="s">
        <v>20</v>
      </c>
      <c r="C16" s="115">
        <v>0</v>
      </c>
      <c r="D16" s="115">
        <v>0</v>
      </c>
      <c r="E16" s="116">
        <f t="shared" si="0"/>
        <v>0</v>
      </c>
      <c r="F16" s="115">
        <v>0</v>
      </c>
      <c r="G16" s="115">
        <v>0</v>
      </c>
      <c r="H16" s="115">
        <v>0</v>
      </c>
      <c r="I16" s="116">
        <v>0</v>
      </c>
      <c r="J16" s="115">
        <v>46</v>
      </c>
    </row>
    <row r="17" spans="1:10" ht="12.75">
      <c r="A17" s="3">
        <v>4580</v>
      </c>
      <c r="B17" s="2" t="s">
        <v>354</v>
      </c>
      <c r="C17" s="115">
        <v>300</v>
      </c>
      <c r="D17" s="115">
        <v>0</v>
      </c>
      <c r="E17" s="116">
        <v>300</v>
      </c>
      <c r="F17" s="115">
        <v>0</v>
      </c>
      <c r="G17" s="115">
        <v>11772</v>
      </c>
      <c r="H17" s="115">
        <v>0</v>
      </c>
      <c r="I17" s="116">
        <v>11772</v>
      </c>
      <c r="J17" s="115">
        <v>0</v>
      </c>
    </row>
    <row r="18" spans="1:10" ht="26.25" customHeight="1">
      <c r="A18" s="3">
        <v>4440</v>
      </c>
      <c r="B18" s="2" t="s">
        <v>21</v>
      </c>
      <c r="C18" s="115">
        <v>0</v>
      </c>
      <c r="D18" s="115">
        <v>0</v>
      </c>
      <c r="E18" s="116">
        <f t="shared" si="0"/>
        <v>0</v>
      </c>
      <c r="F18" s="115">
        <v>0</v>
      </c>
      <c r="G18" s="115">
        <v>0</v>
      </c>
      <c r="H18" s="115">
        <v>1615</v>
      </c>
      <c r="I18" s="116">
        <v>0</v>
      </c>
      <c r="J18" s="115">
        <v>3504</v>
      </c>
    </row>
    <row r="19" spans="1:10" ht="27" customHeight="1">
      <c r="A19" s="3">
        <v>6050</v>
      </c>
      <c r="B19" s="2" t="s">
        <v>23</v>
      </c>
      <c r="C19" s="115">
        <v>0</v>
      </c>
      <c r="D19" s="115">
        <v>0</v>
      </c>
      <c r="E19" s="116">
        <f t="shared" si="0"/>
        <v>0</v>
      </c>
      <c r="F19" s="115">
        <v>0</v>
      </c>
      <c r="G19" s="115">
        <v>0</v>
      </c>
      <c r="H19" s="115">
        <v>0</v>
      </c>
      <c r="I19" s="116">
        <v>0</v>
      </c>
      <c r="J19" s="115">
        <v>0</v>
      </c>
    </row>
    <row r="20" spans="1:10" ht="27.75" customHeight="1">
      <c r="A20" s="3">
        <v>6060</v>
      </c>
      <c r="B20" s="2" t="s">
        <v>22</v>
      </c>
      <c r="C20" s="115">
        <v>0</v>
      </c>
      <c r="D20" s="115">
        <v>0</v>
      </c>
      <c r="E20" s="116">
        <f t="shared" si="0"/>
        <v>0</v>
      </c>
      <c r="F20" s="115">
        <v>0</v>
      </c>
      <c r="G20" s="115">
        <v>0</v>
      </c>
      <c r="H20" s="115">
        <v>0</v>
      </c>
      <c r="I20" s="116">
        <v>0</v>
      </c>
      <c r="J20" s="115">
        <v>0</v>
      </c>
    </row>
    <row r="21" spans="1:10" ht="12.75">
      <c r="A21" s="196" t="s">
        <v>34</v>
      </c>
      <c r="B21" s="197"/>
      <c r="C21" s="112">
        <f aca="true" t="shared" si="1" ref="C21:J21">SUM(C5:C20)</f>
        <v>43184.41</v>
      </c>
      <c r="D21" s="112">
        <f t="shared" si="1"/>
        <v>16698.579999999998</v>
      </c>
      <c r="E21" s="112">
        <f t="shared" si="1"/>
        <v>59882.99</v>
      </c>
      <c r="F21" s="112">
        <f t="shared" si="1"/>
        <v>53210</v>
      </c>
      <c r="G21" s="112">
        <f t="shared" si="1"/>
        <v>52566.1</v>
      </c>
      <c r="H21" s="112">
        <f t="shared" si="1"/>
        <v>5140.92</v>
      </c>
      <c r="I21" s="112">
        <f t="shared" si="1"/>
        <v>20058.73</v>
      </c>
      <c r="J21" s="112">
        <f t="shared" si="1"/>
        <v>52400</v>
      </c>
    </row>
  </sheetData>
  <mergeCells count="1">
    <mergeCell ref="A21:B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I5" sqref="I5:I21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9.875" style="0" customWidth="1"/>
    <col min="4" max="4" width="11.75390625" style="0" customWidth="1"/>
    <col min="5" max="5" width="11.625" style="0" customWidth="1"/>
    <col min="6" max="6" width="11.25390625" style="0" customWidth="1"/>
    <col min="7" max="7" width="11.375" style="0" customWidth="1"/>
    <col min="8" max="8" width="11.75390625" style="0" customWidth="1"/>
    <col min="9" max="9" width="10.25390625" style="0" customWidth="1"/>
    <col min="10" max="10" width="9.25390625" style="0" customWidth="1"/>
  </cols>
  <sheetData>
    <row r="1" spans="1:10" ht="12.75">
      <c r="A1" s="8" t="s">
        <v>376</v>
      </c>
      <c r="B1" s="8"/>
      <c r="C1" s="8"/>
      <c r="D1" s="8"/>
      <c r="E1" s="8"/>
      <c r="F1" s="8"/>
      <c r="G1" s="8"/>
      <c r="H1" s="8"/>
      <c r="I1" s="8"/>
      <c r="J1" s="1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1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1"/>
    </row>
    <row r="4" spans="1:10" ht="53.2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</row>
    <row r="5" spans="1:10" ht="27" customHeight="1">
      <c r="A5" s="3">
        <v>3020</v>
      </c>
      <c r="B5" s="2" t="s">
        <v>9</v>
      </c>
      <c r="C5" s="115">
        <v>1927.28</v>
      </c>
      <c r="D5" s="115">
        <v>100.86</v>
      </c>
      <c r="E5" s="116">
        <f aca="true" t="shared" si="0" ref="E5:E21">SUM(C5:D5)</f>
        <v>2028.1399999999999</v>
      </c>
      <c r="F5" s="115">
        <v>1086.62</v>
      </c>
      <c r="G5" s="115">
        <v>1609.79</v>
      </c>
      <c r="H5" s="115">
        <v>209.4</v>
      </c>
      <c r="I5" s="116">
        <v>333.2</v>
      </c>
      <c r="J5" s="115">
        <v>2600</v>
      </c>
    </row>
    <row r="6" spans="1:10" ht="22.5" customHeight="1">
      <c r="A6" s="3">
        <v>4010</v>
      </c>
      <c r="B6" s="2" t="s">
        <v>10</v>
      </c>
      <c r="C6" s="115">
        <v>24911.72</v>
      </c>
      <c r="D6" s="115">
        <v>6356.08</v>
      </c>
      <c r="E6" s="116">
        <f t="shared" si="0"/>
        <v>31267.800000000003</v>
      </c>
      <c r="F6" s="115">
        <v>34670</v>
      </c>
      <c r="G6" s="115">
        <v>24366.37</v>
      </c>
      <c r="H6" s="115">
        <v>2580.8</v>
      </c>
      <c r="I6" s="116">
        <v>4048.4</v>
      </c>
      <c r="J6" s="115">
        <v>31000</v>
      </c>
    </row>
    <row r="7" spans="1:10" ht="19.5" customHeight="1">
      <c r="A7" s="3">
        <v>4040</v>
      </c>
      <c r="B7" s="2" t="s">
        <v>11</v>
      </c>
      <c r="C7" s="115">
        <v>2174.01</v>
      </c>
      <c r="D7" s="115">
        <v>2413.38</v>
      </c>
      <c r="E7" s="116">
        <f t="shared" si="0"/>
        <v>4587.39</v>
      </c>
      <c r="F7" s="115">
        <v>2413.38</v>
      </c>
      <c r="G7" s="115">
        <v>2413.38</v>
      </c>
      <c r="H7" s="115">
        <v>0</v>
      </c>
      <c r="I7" s="116">
        <v>2413.38</v>
      </c>
      <c r="J7" s="115">
        <v>2800</v>
      </c>
    </row>
    <row r="8" spans="1:10" ht="20.25" customHeight="1">
      <c r="A8" s="3">
        <v>4110</v>
      </c>
      <c r="B8" s="2" t="s">
        <v>12</v>
      </c>
      <c r="C8" s="115">
        <v>5520.69</v>
      </c>
      <c r="D8" s="115">
        <v>4547.44</v>
      </c>
      <c r="E8" s="116">
        <f t="shared" si="0"/>
        <v>10068.13</v>
      </c>
      <c r="F8" s="115">
        <v>8300</v>
      </c>
      <c r="G8" s="115">
        <v>7155.3</v>
      </c>
      <c r="H8" s="115">
        <v>448.53</v>
      </c>
      <c r="I8" s="116">
        <v>788.24</v>
      </c>
      <c r="J8" s="115">
        <v>9000</v>
      </c>
    </row>
    <row r="9" spans="1:10" ht="18" customHeight="1">
      <c r="A9" s="3">
        <v>4120</v>
      </c>
      <c r="B9" s="2" t="s">
        <v>13</v>
      </c>
      <c r="C9" s="115">
        <v>764.16</v>
      </c>
      <c r="D9" s="115">
        <v>755.81</v>
      </c>
      <c r="E9" s="116">
        <f t="shared" si="0"/>
        <v>1519.9699999999998</v>
      </c>
      <c r="F9" s="115">
        <v>1500</v>
      </c>
      <c r="G9" s="115">
        <v>1110.97</v>
      </c>
      <c r="H9" s="115">
        <v>160.56</v>
      </c>
      <c r="I9" s="116">
        <v>107.34</v>
      </c>
      <c r="J9" s="115">
        <v>1100</v>
      </c>
    </row>
    <row r="10" spans="1:10" ht="18.75" customHeight="1">
      <c r="A10" s="3">
        <v>4210</v>
      </c>
      <c r="B10" s="2" t="s">
        <v>14</v>
      </c>
      <c r="C10" s="115">
        <v>32.5</v>
      </c>
      <c r="D10" s="115">
        <v>0</v>
      </c>
      <c r="E10" s="116">
        <f t="shared" si="0"/>
        <v>32.5</v>
      </c>
      <c r="F10" s="115">
        <v>0</v>
      </c>
      <c r="G10" s="115">
        <v>0</v>
      </c>
      <c r="H10" s="115">
        <v>0</v>
      </c>
      <c r="I10" s="116">
        <v>0</v>
      </c>
      <c r="J10" s="115">
        <v>500</v>
      </c>
    </row>
    <row r="11" spans="1:10" ht="27.75" customHeight="1">
      <c r="A11" s="3">
        <v>4240</v>
      </c>
      <c r="B11" s="2" t="s">
        <v>15</v>
      </c>
      <c r="C11" s="115">
        <v>0</v>
      </c>
      <c r="D11" s="115">
        <v>0</v>
      </c>
      <c r="E11" s="116">
        <f t="shared" si="0"/>
        <v>0</v>
      </c>
      <c r="F11" s="115">
        <v>0</v>
      </c>
      <c r="G11" s="115">
        <v>0</v>
      </c>
      <c r="H11" s="115">
        <v>0</v>
      </c>
      <c r="I11" s="116">
        <v>0</v>
      </c>
      <c r="J11" s="115">
        <v>980</v>
      </c>
    </row>
    <row r="12" spans="1:10" ht="20.25" customHeight="1">
      <c r="A12" s="3">
        <v>4260</v>
      </c>
      <c r="B12" s="2" t="s">
        <v>16</v>
      </c>
      <c r="C12" s="115">
        <v>0</v>
      </c>
      <c r="D12" s="115">
        <v>0</v>
      </c>
      <c r="E12" s="116">
        <f t="shared" si="0"/>
        <v>0</v>
      </c>
      <c r="F12" s="115">
        <v>0</v>
      </c>
      <c r="G12" s="115">
        <v>0</v>
      </c>
      <c r="H12" s="115">
        <v>0</v>
      </c>
      <c r="I12" s="116">
        <v>0</v>
      </c>
      <c r="J12" s="115">
        <v>0</v>
      </c>
    </row>
    <row r="13" spans="1:10" ht="21.75" customHeight="1">
      <c r="A13" s="3">
        <v>4270</v>
      </c>
      <c r="B13" s="2" t="s">
        <v>17</v>
      </c>
      <c r="C13" s="115">
        <v>0</v>
      </c>
      <c r="D13" s="115">
        <v>0</v>
      </c>
      <c r="E13" s="116">
        <f t="shared" si="0"/>
        <v>0</v>
      </c>
      <c r="F13" s="115">
        <v>0</v>
      </c>
      <c r="G13" s="115">
        <v>0</v>
      </c>
      <c r="H13" s="115">
        <v>0</v>
      </c>
      <c r="I13" s="116">
        <v>0</v>
      </c>
      <c r="J13" s="115">
        <v>0</v>
      </c>
    </row>
    <row r="14" spans="1:10" ht="18.75" customHeight="1">
      <c r="A14" s="3">
        <v>4280</v>
      </c>
      <c r="B14" s="2" t="s">
        <v>18</v>
      </c>
      <c r="C14" s="115">
        <v>0</v>
      </c>
      <c r="D14" s="115">
        <v>0</v>
      </c>
      <c r="E14" s="116">
        <f t="shared" si="0"/>
        <v>0</v>
      </c>
      <c r="F14" s="115">
        <v>0</v>
      </c>
      <c r="G14" s="115">
        <v>0</v>
      </c>
      <c r="H14" s="115">
        <v>0</v>
      </c>
      <c r="I14" s="116">
        <v>0</v>
      </c>
      <c r="J14" s="115">
        <v>0</v>
      </c>
    </row>
    <row r="15" spans="1:10" ht="20.25" customHeight="1">
      <c r="A15" s="3">
        <v>4300</v>
      </c>
      <c r="B15" s="2" t="s">
        <v>19</v>
      </c>
      <c r="C15" s="115">
        <v>103.71</v>
      </c>
      <c r="D15" s="115">
        <v>0</v>
      </c>
      <c r="E15" s="116">
        <f t="shared" si="0"/>
        <v>103.71</v>
      </c>
      <c r="F15" s="115">
        <v>95</v>
      </c>
      <c r="G15" s="115">
        <v>21</v>
      </c>
      <c r="H15" s="115">
        <v>0</v>
      </c>
      <c r="I15" s="116">
        <v>50</v>
      </c>
      <c r="J15" s="115">
        <v>200</v>
      </c>
    </row>
    <row r="16" spans="1:10" ht="16.5" customHeight="1">
      <c r="A16" s="3">
        <v>4410</v>
      </c>
      <c r="B16" s="2" t="s">
        <v>20</v>
      </c>
      <c r="C16" s="115">
        <v>0</v>
      </c>
      <c r="D16" s="115">
        <v>0</v>
      </c>
      <c r="E16" s="116">
        <f t="shared" si="0"/>
        <v>0</v>
      </c>
      <c r="F16" s="115">
        <v>0</v>
      </c>
      <c r="G16" s="115">
        <v>0</v>
      </c>
      <c r="H16" s="115">
        <v>0</v>
      </c>
      <c r="I16" s="116">
        <v>0</v>
      </c>
      <c r="J16" s="115">
        <v>46</v>
      </c>
    </row>
    <row r="17" spans="1:10" ht="16.5" customHeight="1">
      <c r="A17" s="3">
        <v>4580</v>
      </c>
      <c r="B17" s="2" t="s">
        <v>354</v>
      </c>
      <c r="C17" s="115">
        <v>200</v>
      </c>
      <c r="D17" s="115">
        <v>0</v>
      </c>
      <c r="E17" s="116"/>
      <c r="F17" s="115">
        <v>0</v>
      </c>
      <c r="G17" s="115">
        <v>9307</v>
      </c>
      <c r="H17" s="115">
        <v>0</v>
      </c>
      <c r="I17" s="116">
        <v>9307</v>
      </c>
      <c r="J17" s="115">
        <v>0</v>
      </c>
    </row>
    <row r="18" spans="1:10" ht="19.5" customHeight="1">
      <c r="A18" s="3">
        <v>4610</v>
      </c>
      <c r="B18" s="2" t="s">
        <v>355</v>
      </c>
      <c r="C18" s="115">
        <v>26.4</v>
      </c>
      <c r="D18" s="115">
        <v>0</v>
      </c>
      <c r="E18" s="116"/>
      <c r="F18" s="115"/>
      <c r="G18" s="115"/>
      <c r="H18" s="115"/>
      <c r="I18" s="116"/>
      <c r="J18" s="115"/>
    </row>
    <row r="19" spans="1:10" ht="25.5" customHeight="1">
      <c r="A19" s="3">
        <v>4440</v>
      </c>
      <c r="B19" s="2" t="s">
        <v>21</v>
      </c>
      <c r="C19" s="115">
        <v>1630</v>
      </c>
      <c r="D19" s="115">
        <v>0</v>
      </c>
      <c r="E19" s="116">
        <f t="shared" si="0"/>
        <v>1630</v>
      </c>
      <c r="F19" s="115">
        <v>0</v>
      </c>
      <c r="G19" s="115">
        <v>0</v>
      </c>
      <c r="H19" s="115">
        <v>1585</v>
      </c>
      <c r="I19" s="116">
        <v>0</v>
      </c>
      <c r="J19" s="115">
        <v>3474</v>
      </c>
    </row>
    <row r="20" spans="1:10" ht="26.25" customHeight="1">
      <c r="A20" s="3">
        <v>6050</v>
      </c>
      <c r="B20" s="2" t="s">
        <v>23</v>
      </c>
      <c r="C20" s="115">
        <v>0</v>
      </c>
      <c r="D20" s="115">
        <v>0</v>
      </c>
      <c r="E20" s="116">
        <f t="shared" si="0"/>
        <v>0</v>
      </c>
      <c r="F20" s="115">
        <v>0</v>
      </c>
      <c r="G20" s="115">
        <v>0</v>
      </c>
      <c r="H20" s="115">
        <v>0</v>
      </c>
      <c r="I20" s="116">
        <v>0</v>
      </c>
      <c r="J20" s="115">
        <v>0</v>
      </c>
    </row>
    <row r="21" spans="1:10" ht="24" customHeight="1">
      <c r="A21" s="3">
        <v>6060</v>
      </c>
      <c r="B21" s="2" t="s">
        <v>22</v>
      </c>
      <c r="C21" s="115">
        <v>0</v>
      </c>
      <c r="D21" s="115">
        <v>0</v>
      </c>
      <c r="E21" s="116">
        <f t="shared" si="0"/>
        <v>0</v>
      </c>
      <c r="F21" s="115">
        <v>0</v>
      </c>
      <c r="G21" s="115">
        <v>0</v>
      </c>
      <c r="H21" s="115">
        <v>0</v>
      </c>
      <c r="I21" s="116">
        <v>0</v>
      </c>
      <c r="J21" s="115">
        <v>0</v>
      </c>
    </row>
    <row r="22" spans="1:10" ht="12.75">
      <c r="A22" s="196" t="s">
        <v>34</v>
      </c>
      <c r="B22" s="197"/>
      <c r="C22" s="112">
        <f aca="true" t="shared" si="1" ref="C22:J22">SUM(C5:C21)</f>
        <v>37290.47000000001</v>
      </c>
      <c r="D22" s="112">
        <f t="shared" si="1"/>
        <v>14173.569999999998</v>
      </c>
      <c r="E22" s="112">
        <f t="shared" si="1"/>
        <v>51237.64</v>
      </c>
      <c r="F22" s="112">
        <f t="shared" si="1"/>
        <v>48065</v>
      </c>
      <c r="G22" s="112">
        <f t="shared" si="1"/>
        <v>45983.810000000005</v>
      </c>
      <c r="H22" s="112">
        <f t="shared" si="1"/>
        <v>4984.290000000001</v>
      </c>
      <c r="I22" s="112">
        <f t="shared" si="1"/>
        <v>17047.56</v>
      </c>
      <c r="J22" s="112">
        <f t="shared" si="1"/>
        <v>51700</v>
      </c>
    </row>
  </sheetData>
  <mergeCells count="1">
    <mergeCell ref="A22:B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J17" sqref="J17"/>
    </sheetView>
  </sheetViews>
  <sheetFormatPr defaultColWidth="9.00390625" defaultRowHeight="12.75"/>
  <cols>
    <col min="1" max="1" width="7.75390625" style="0" customWidth="1"/>
    <col min="2" max="2" width="30.75390625" style="0" customWidth="1"/>
    <col min="3" max="3" width="10.00390625" style="0" customWidth="1"/>
    <col min="4" max="4" width="12.00390625" style="0" customWidth="1"/>
    <col min="5" max="5" width="10.875" style="0" customWidth="1"/>
    <col min="6" max="7" width="10.125" style="0" customWidth="1"/>
    <col min="8" max="8" width="11.75390625" style="0" customWidth="1"/>
    <col min="9" max="9" width="9.875" style="0" customWidth="1"/>
    <col min="10" max="10" width="10.625" style="0" customWidth="1"/>
  </cols>
  <sheetData>
    <row r="1" spans="1:10" ht="12.75">
      <c r="A1" s="8" t="s">
        <v>377</v>
      </c>
      <c r="B1" s="8"/>
      <c r="C1" s="8"/>
      <c r="D1" s="8"/>
      <c r="E1" s="8"/>
      <c r="F1" s="8"/>
      <c r="G1" s="8"/>
      <c r="H1" s="8"/>
      <c r="I1" s="8"/>
      <c r="J1" s="1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1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1"/>
    </row>
    <row r="4" spans="1:10" ht="55.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</row>
    <row r="5" spans="1:10" ht="29.25" customHeight="1">
      <c r="A5" s="3">
        <v>3020</v>
      </c>
      <c r="B5" s="2" t="s">
        <v>9</v>
      </c>
      <c r="C5" s="115">
        <v>2329.35</v>
      </c>
      <c r="D5" s="115">
        <v>114.84</v>
      </c>
      <c r="E5" s="116">
        <f aca="true" t="shared" si="0" ref="E5:E21">SUM(C5:D5)</f>
        <v>2444.19</v>
      </c>
      <c r="F5" s="115">
        <v>1090</v>
      </c>
      <c r="G5" s="115">
        <v>1686.11</v>
      </c>
      <c r="H5" s="115">
        <v>364.73</v>
      </c>
      <c r="I5" s="116">
        <v>387.2</v>
      </c>
      <c r="J5" s="115">
        <v>3000</v>
      </c>
    </row>
    <row r="6" spans="1:10" ht="20.25" customHeight="1">
      <c r="A6" s="3">
        <v>4010</v>
      </c>
      <c r="B6" s="2" t="s">
        <v>10</v>
      </c>
      <c r="C6" s="115">
        <v>25460.59</v>
      </c>
      <c r="D6" s="115">
        <v>12642.63</v>
      </c>
      <c r="E6" s="116">
        <f t="shared" si="0"/>
        <v>38103.22</v>
      </c>
      <c r="F6" s="115">
        <v>38480</v>
      </c>
      <c r="G6" s="115">
        <v>29435.92</v>
      </c>
      <c r="H6" s="115">
        <v>4186.26</v>
      </c>
      <c r="I6" s="116">
        <v>4081.72</v>
      </c>
      <c r="J6" s="115">
        <v>31000</v>
      </c>
    </row>
    <row r="7" spans="1:10" ht="19.5" customHeight="1">
      <c r="A7" s="3">
        <v>4040</v>
      </c>
      <c r="B7" s="2" t="s">
        <v>11</v>
      </c>
      <c r="C7" s="115">
        <v>2331.88</v>
      </c>
      <c r="D7" s="115">
        <v>2939.71</v>
      </c>
      <c r="E7" s="116">
        <f t="shared" si="0"/>
        <v>5271.59</v>
      </c>
      <c r="F7" s="115">
        <v>2939.71</v>
      </c>
      <c r="G7" s="115">
        <v>2939.71</v>
      </c>
      <c r="H7" s="115">
        <v>0</v>
      </c>
      <c r="I7" s="116">
        <v>2939.71</v>
      </c>
      <c r="J7" s="115">
        <v>3000</v>
      </c>
    </row>
    <row r="8" spans="1:10" ht="21" customHeight="1">
      <c r="A8" s="3">
        <v>4110</v>
      </c>
      <c r="B8" s="2" t="s">
        <v>12</v>
      </c>
      <c r="C8" s="115">
        <v>6596.3</v>
      </c>
      <c r="D8" s="115">
        <v>5708.41</v>
      </c>
      <c r="E8" s="116">
        <f t="shared" si="0"/>
        <v>12304.71</v>
      </c>
      <c r="F8" s="115">
        <v>10050</v>
      </c>
      <c r="G8" s="115">
        <v>7366.04</v>
      </c>
      <c r="H8" s="115">
        <v>2134.71</v>
      </c>
      <c r="I8" s="116">
        <v>803.96</v>
      </c>
      <c r="J8" s="115">
        <v>10000</v>
      </c>
    </row>
    <row r="9" spans="1:10" ht="20.25" customHeight="1">
      <c r="A9" s="3">
        <v>4120</v>
      </c>
      <c r="B9" s="2" t="s">
        <v>13</v>
      </c>
      <c r="C9" s="115">
        <v>911.53</v>
      </c>
      <c r="D9" s="115">
        <v>1298.72</v>
      </c>
      <c r="E9" s="116">
        <f t="shared" si="0"/>
        <v>2210.25</v>
      </c>
      <c r="F9" s="115">
        <v>1800</v>
      </c>
      <c r="G9" s="115">
        <v>1512.9</v>
      </c>
      <c r="H9" s="115">
        <v>339.19</v>
      </c>
      <c r="I9" s="116">
        <v>109.48</v>
      </c>
      <c r="J9" s="115">
        <v>1400</v>
      </c>
    </row>
    <row r="10" spans="1:10" ht="20.25" customHeight="1">
      <c r="A10" s="3">
        <v>4210</v>
      </c>
      <c r="B10" s="2" t="s">
        <v>14</v>
      </c>
      <c r="C10" s="115">
        <v>32.5</v>
      </c>
      <c r="D10" s="115">
        <v>0</v>
      </c>
      <c r="E10" s="116">
        <f t="shared" si="0"/>
        <v>32.5</v>
      </c>
      <c r="F10" s="115">
        <v>0</v>
      </c>
      <c r="G10" s="115">
        <v>0</v>
      </c>
      <c r="H10" s="115">
        <v>0</v>
      </c>
      <c r="I10" s="116">
        <v>0</v>
      </c>
      <c r="J10" s="115">
        <v>900</v>
      </c>
    </row>
    <row r="11" spans="1:10" ht="27.75" customHeight="1">
      <c r="A11" s="3">
        <v>4240</v>
      </c>
      <c r="B11" s="2" t="s">
        <v>15</v>
      </c>
      <c r="C11" s="115">
        <v>0</v>
      </c>
      <c r="D11" s="115">
        <v>0</v>
      </c>
      <c r="E11" s="116">
        <f t="shared" si="0"/>
        <v>0</v>
      </c>
      <c r="F11" s="115">
        <v>0</v>
      </c>
      <c r="G11" s="115">
        <v>0</v>
      </c>
      <c r="H11" s="115">
        <v>0</v>
      </c>
      <c r="I11" s="116">
        <v>0</v>
      </c>
      <c r="J11" s="115">
        <v>1150</v>
      </c>
    </row>
    <row r="12" spans="1:10" ht="18.75" customHeight="1">
      <c r="A12" s="3">
        <v>4260</v>
      </c>
      <c r="B12" s="2" t="s">
        <v>16</v>
      </c>
      <c r="C12" s="115">
        <v>5142.21</v>
      </c>
      <c r="D12" s="115">
        <v>1218.37</v>
      </c>
      <c r="E12" s="116">
        <f t="shared" si="0"/>
        <v>6360.58</v>
      </c>
      <c r="F12" s="115">
        <v>4829.29</v>
      </c>
      <c r="G12" s="115">
        <v>3779.58</v>
      </c>
      <c r="H12" s="115">
        <v>230.96</v>
      </c>
      <c r="I12" s="116">
        <v>4000</v>
      </c>
      <c r="J12" s="115">
        <v>7000</v>
      </c>
    </row>
    <row r="13" spans="1:10" ht="18.75" customHeight="1">
      <c r="A13" s="3">
        <v>4270</v>
      </c>
      <c r="B13" s="2" t="s">
        <v>17</v>
      </c>
      <c r="C13" s="115">
        <v>0</v>
      </c>
      <c r="D13" s="115">
        <v>0</v>
      </c>
      <c r="E13" s="116">
        <f t="shared" si="0"/>
        <v>0</v>
      </c>
      <c r="F13" s="115">
        <v>0</v>
      </c>
      <c r="G13" s="115">
        <v>0</v>
      </c>
      <c r="H13" s="115">
        <v>0</v>
      </c>
      <c r="I13" s="116">
        <v>0</v>
      </c>
      <c r="J13" s="115">
        <v>0</v>
      </c>
    </row>
    <row r="14" spans="1:10" ht="20.25" customHeight="1">
      <c r="A14" s="3">
        <v>4280</v>
      </c>
      <c r="B14" s="2" t="s">
        <v>18</v>
      </c>
      <c r="C14" s="115">
        <v>0</v>
      </c>
      <c r="D14" s="115">
        <v>0</v>
      </c>
      <c r="E14" s="116">
        <f t="shared" si="0"/>
        <v>0</v>
      </c>
      <c r="F14" s="115">
        <v>0</v>
      </c>
      <c r="G14" s="115">
        <v>0</v>
      </c>
      <c r="H14" s="115">
        <v>0</v>
      </c>
      <c r="I14" s="116">
        <v>0</v>
      </c>
      <c r="J14" s="115">
        <v>0</v>
      </c>
    </row>
    <row r="15" spans="1:10" ht="18" customHeight="1">
      <c r="A15" s="3">
        <v>4300</v>
      </c>
      <c r="B15" s="2" t="s">
        <v>19</v>
      </c>
      <c r="C15" s="115">
        <v>953.5</v>
      </c>
      <c r="D15" s="115">
        <v>0</v>
      </c>
      <c r="E15" s="116">
        <f t="shared" si="0"/>
        <v>953.5</v>
      </c>
      <c r="F15" s="115">
        <v>500</v>
      </c>
      <c r="G15" s="115">
        <v>500</v>
      </c>
      <c r="H15" s="115">
        <v>150.18</v>
      </c>
      <c r="I15" s="116">
        <v>850</v>
      </c>
      <c r="J15" s="115">
        <v>2000</v>
      </c>
    </row>
    <row r="16" spans="1:10" ht="18.75" customHeight="1">
      <c r="A16" s="3">
        <v>4410</v>
      </c>
      <c r="B16" s="2" t="s">
        <v>20</v>
      </c>
      <c r="C16" s="115">
        <v>0</v>
      </c>
      <c r="D16" s="115">
        <v>0</v>
      </c>
      <c r="E16" s="116">
        <f t="shared" si="0"/>
        <v>0</v>
      </c>
      <c r="F16" s="115">
        <v>0</v>
      </c>
      <c r="G16" s="115">
        <v>0</v>
      </c>
      <c r="H16" s="115">
        <v>0</v>
      </c>
      <c r="I16" s="116">
        <v>0</v>
      </c>
      <c r="J16" s="115">
        <v>50</v>
      </c>
    </row>
    <row r="17" spans="1:10" ht="15.75" customHeight="1">
      <c r="A17" s="3">
        <v>4580</v>
      </c>
      <c r="B17" s="2" t="s">
        <v>354</v>
      </c>
      <c r="C17" s="115">
        <v>519.21</v>
      </c>
      <c r="D17" s="115">
        <v>0</v>
      </c>
      <c r="E17" s="116"/>
      <c r="F17" s="115">
        <v>0</v>
      </c>
      <c r="G17" s="115">
        <v>17875.36</v>
      </c>
      <c r="H17" s="115">
        <v>0</v>
      </c>
      <c r="I17" s="116">
        <v>17875.49</v>
      </c>
      <c r="J17" s="115"/>
    </row>
    <row r="18" spans="1:10" ht="15.75" customHeight="1">
      <c r="A18" s="3">
        <v>4610</v>
      </c>
      <c r="B18" s="2" t="s">
        <v>355</v>
      </c>
      <c r="C18" s="115">
        <v>331.2</v>
      </c>
      <c r="D18" s="115">
        <v>0</v>
      </c>
      <c r="E18" s="116">
        <v>331.2</v>
      </c>
      <c r="F18" s="115"/>
      <c r="G18" s="115"/>
      <c r="H18" s="115"/>
      <c r="I18" s="116"/>
      <c r="J18" s="115"/>
    </row>
    <row r="19" spans="1:10" ht="26.25" customHeight="1">
      <c r="A19" s="3">
        <v>4440</v>
      </c>
      <c r="B19" s="2" t="s">
        <v>21</v>
      </c>
      <c r="C19" s="115">
        <v>1540</v>
      </c>
      <c r="D19" s="115">
        <v>0</v>
      </c>
      <c r="E19" s="116">
        <f t="shared" si="0"/>
        <v>1540</v>
      </c>
      <c r="F19" s="115">
        <v>0</v>
      </c>
      <c r="G19" s="115">
        <v>0</v>
      </c>
      <c r="H19" s="115">
        <v>1615</v>
      </c>
      <c r="I19" s="116">
        <v>0</v>
      </c>
      <c r="J19" s="115">
        <v>3500</v>
      </c>
    </row>
    <row r="20" spans="1:10" ht="26.25" customHeight="1">
      <c r="A20" s="3">
        <v>6050</v>
      </c>
      <c r="B20" s="2" t="s">
        <v>23</v>
      </c>
      <c r="C20" s="115">
        <v>0</v>
      </c>
      <c r="D20" s="115">
        <v>0</v>
      </c>
      <c r="E20" s="116">
        <f t="shared" si="0"/>
        <v>0</v>
      </c>
      <c r="F20" s="115">
        <v>0</v>
      </c>
      <c r="G20" s="115">
        <v>0</v>
      </c>
      <c r="H20" s="115">
        <v>0</v>
      </c>
      <c r="I20" s="116">
        <v>0</v>
      </c>
      <c r="J20" s="115">
        <v>0</v>
      </c>
    </row>
    <row r="21" spans="1:10" ht="25.5" customHeight="1">
      <c r="A21" s="3">
        <v>6060</v>
      </c>
      <c r="B21" s="2" t="s">
        <v>22</v>
      </c>
      <c r="C21" s="115">
        <v>0</v>
      </c>
      <c r="D21" s="115">
        <v>0</v>
      </c>
      <c r="E21" s="116">
        <f t="shared" si="0"/>
        <v>0</v>
      </c>
      <c r="F21" s="115">
        <v>0</v>
      </c>
      <c r="G21" s="115">
        <v>0</v>
      </c>
      <c r="H21" s="115">
        <v>0</v>
      </c>
      <c r="I21" s="116">
        <v>0</v>
      </c>
      <c r="J21" s="115">
        <v>0</v>
      </c>
    </row>
    <row r="22" spans="1:10" ht="12.75">
      <c r="A22" s="196" t="s">
        <v>34</v>
      </c>
      <c r="B22" s="197"/>
      <c r="C22" s="112">
        <f aca="true" t="shared" si="1" ref="C22:J22">SUM(C5:C21)</f>
        <v>46148.27</v>
      </c>
      <c r="D22" s="112">
        <f t="shared" si="1"/>
        <v>23922.68</v>
      </c>
      <c r="E22" s="112">
        <f t="shared" si="1"/>
        <v>69551.73999999999</v>
      </c>
      <c r="F22" s="112">
        <f t="shared" si="1"/>
        <v>59689</v>
      </c>
      <c r="G22" s="112">
        <f t="shared" si="1"/>
        <v>65095.62</v>
      </c>
      <c r="H22" s="112">
        <f t="shared" si="1"/>
        <v>9021.029999999999</v>
      </c>
      <c r="I22" s="112">
        <f t="shared" si="1"/>
        <v>31047.56</v>
      </c>
      <c r="J22" s="112">
        <f t="shared" si="1"/>
        <v>63000</v>
      </c>
    </row>
  </sheetData>
  <mergeCells count="1">
    <mergeCell ref="A22:B2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5">
      <selection activeCell="C25" sqref="C25:J25"/>
    </sheetView>
  </sheetViews>
  <sheetFormatPr defaultColWidth="9.00390625" defaultRowHeight="12.75"/>
  <cols>
    <col min="1" max="1" width="9.00390625" style="0" customWidth="1"/>
    <col min="2" max="2" width="29.125" style="0" customWidth="1"/>
    <col min="3" max="3" width="10.125" style="0" customWidth="1"/>
    <col min="4" max="5" width="11.25390625" style="0" customWidth="1"/>
    <col min="6" max="6" width="10.375" style="0" customWidth="1"/>
    <col min="7" max="7" width="9.75390625" style="0" customWidth="1"/>
    <col min="8" max="8" width="11.25390625" style="0" customWidth="1"/>
    <col min="9" max="10" width="11.00390625" style="0" customWidth="1"/>
  </cols>
  <sheetData>
    <row r="1" spans="1:15" ht="12.75">
      <c r="A1" s="8" t="s">
        <v>0</v>
      </c>
      <c r="B1" s="8" t="s">
        <v>373</v>
      </c>
      <c r="C1" s="8"/>
      <c r="D1" s="8"/>
      <c r="E1" s="8"/>
      <c r="F1" s="8"/>
      <c r="G1" s="8"/>
      <c r="H1" s="8"/>
      <c r="I1" s="8"/>
      <c r="J1" s="1"/>
      <c r="K1" s="1"/>
      <c r="L1" s="1"/>
      <c r="M1" s="1"/>
      <c r="N1" s="1"/>
      <c r="O1" s="1"/>
    </row>
    <row r="2" spans="1:15" ht="12.75">
      <c r="A2" s="8"/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</row>
    <row r="4" spans="1:15" s="5" customFormat="1" ht="53.2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  <c r="K4" s="4"/>
      <c r="L4" s="4"/>
      <c r="M4" s="4"/>
      <c r="N4" s="4"/>
      <c r="O4" s="4"/>
    </row>
    <row r="5" spans="1:15" ht="25.5">
      <c r="A5" s="3">
        <v>3020</v>
      </c>
      <c r="B5" s="2" t="s">
        <v>9</v>
      </c>
      <c r="C5" s="115">
        <v>14691.67</v>
      </c>
      <c r="D5" s="3">
        <v>658.88</v>
      </c>
      <c r="E5" s="7">
        <f aca="true" t="shared" si="0" ref="E5:E22">SUM(C5:D5)</f>
        <v>15350.55</v>
      </c>
      <c r="F5" s="115">
        <v>5795</v>
      </c>
      <c r="G5" s="115">
        <v>8921.44</v>
      </c>
      <c r="H5" s="115">
        <v>1797.88</v>
      </c>
      <c r="I5" s="116">
        <v>2210.24</v>
      </c>
      <c r="J5" s="115">
        <v>16000</v>
      </c>
      <c r="K5" s="1"/>
      <c r="L5" s="1"/>
      <c r="M5" s="1"/>
      <c r="N5" s="1"/>
      <c r="O5" s="1"/>
    </row>
    <row r="6" spans="1:15" ht="25.5">
      <c r="A6" s="3">
        <v>4010</v>
      </c>
      <c r="B6" s="2" t="s">
        <v>10</v>
      </c>
      <c r="C6" s="115">
        <v>184003.95</v>
      </c>
      <c r="D6" s="115">
        <v>67956.2</v>
      </c>
      <c r="E6" s="116">
        <f t="shared" si="0"/>
        <v>251960.15000000002</v>
      </c>
      <c r="F6" s="115">
        <v>209227</v>
      </c>
      <c r="G6" s="115">
        <v>161779.49</v>
      </c>
      <c r="H6" s="115">
        <v>21245.3</v>
      </c>
      <c r="I6" s="116">
        <v>25543.32</v>
      </c>
      <c r="J6" s="115">
        <v>190000</v>
      </c>
      <c r="K6" s="1"/>
      <c r="L6" s="1"/>
      <c r="M6" s="1"/>
      <c r="N6" s="1"/>
      <c r="O6" s="1"/>
    </row>
    <row r="7" spans="1:15" ht="17.25" customHeight="1">
      <c r="A7" s="3">
        <v>4040</v>
      </c>
      <c r="B7" s="2" t="s">
        <v>11</v>
      </c>
      <c r="C7" s="115">
        <v>19545.88</v>
      </c>
      <c r="D7" s="115">
        <v>17302.81</v>
      </c>
      <c r="E7" s="116">
        <f t="shared" si="0"/>
        <v>36848.69</v>
      </c>
      <c r="F7" s="115">
        <v>17302.81</v>
      </c>
      <c r="G7" s="115">
        <v>17302.81</v>
      </c>
      <c r="H7" s="3">
        <v>0</v>
      </c>
      <c r="I7" s="116">
        <v>17302.81</v>
      </c>
      <c r="J7" s="115">
        <v>20000</v>
      </c>
      <c r="K7" s="1"/>
      <c r="L7" s="1"/>
      <c r="M7" s="1"/>
      <c r="N7" s="1"/>
      <c r="O7" s="1"/>
    </row>
    <row r="8" spans="1:15" ht="16.5" customHeight="1">
      <c r="A8" s="3">
        <v>4110</v>
      </c>
      <c r="B8" s="2" t="s">
        <v>12</v>
      </c>
      <c r="C8" s="115">
        <v>37863.1</v>
      </c>
      <c r="D8" s="115">
        <v>38036.26</v>
      </c>
      <c r="E8" s="116">
        <f t="shared" si="0"/>
        <v>75899.36</v>
      </c>
      <c r="F8" s="115">
        <v>65400</v>
      </c>
      <c r="G8" s="115">
        <v>46140.85</v>
      </c>
      <c r="H8" s="115">
        <v>12271.14</v>
      </c>
      <c r="I8" s="116">
        <v>4845.74</v>
      </c>
      <c r="J8" s="115">
        <v>48000</v>
      </c>
      <c r="K8" s="1"/>
      <c r="L8" s="1"/>
      <c r="M8" s="1"/>
      <c r="N8" s="1"/>
      <c r="O8" s="1"/>
    </row>
    <row r="9" spans="1:15" ht="12.75">
      <c r="A9" s="3">
        <v>4120</v>
      </c>
      <c r="B9" s="2" t="s">
        <v>13</v>
      </c>
      <c r="C9" s="115">
        <v>5745.22</v>
      </c>
      <c r="D9" s="115">
        <v>7020.95</v>
      </c>
      <c r="E9" s="116">
        <f t="shared" si="0"/>
        <v>12766.17</v>
      </c>
      <c r="F9" s="115">
        <v>11799</v>
      </c>
      <c r="G9" s="115">
        <v>8160.54</v>
      </c>
      <c r="H9" s="115">
        <v>1808.09</v>
      </c>
      <c r="I9" s="7">
        <v>679.98</v>
      </c>
      <c r="J9" s="115">
        <v>7000</v>
      </c>
      <c r="K9" s="1"/>
      <c r="L9" s="1"/>
      <c r="M9" s="1"/>
      <c r="N9" s="1"/>
      <c r="O9" s="1"/>
    </row>
    <row r="10" spans="1:15" ht="15" customHeight="1">
      <c r="A10" s="3">
        <v>4210</v>
      </c>
      <c r="B10" s="2" t="s">
        <v>14</v>
      </c>
      <c r="C10" s="115">
        <v>2584.26</v>
      </c>
      <c r="D10" s="3">
        <v>0</v>
      </c>
      <c r="E10" s="116">
        <f t="shared" si="0"/>
        <v>2584.26</v>
      </c>
      <c r="F10" s="3">
        <v>0</v>
      </c>
      <c r="G10" s="3">
        <v>0</v>
      </c>
      <c r="H10" s="3">
        <v>0</v>
      </c>
      <c r="I10" s="7">
        <v>0</v>
      </c>
      <c r="J10" s="115">
        <v>2000</v>
      </c>
      <c r="K10" s="1"/>
      <c r="L10" s="1"/>
      <c r="M10" s="1"/>
      <c r="N10" s="1"/>
      <c r="O10" s="1"/>
    </row>
    <row r="11" spans="1:15" ht="25.5">
      <c r="A11" s="3">
        <v>4240</v>
      </c>
      <c r="B11" s="2" t="s">
        <v>15</v>
      </c>
      <c r="C11" s="3">
        <v>257.26</v>
      </c>
      <c r="D11" s="3">
        <v>0</v>
      </c>
      <c r="E11" s="116">
        <f t="shared" si="0"/>
        <v>257.26</v>
      </c>
      <c r="F11" s="3">
        <v>100</v>
      </c>
      <c r="G11" s="3">
        <v>0</v>
      </c>
      <c r="H11" s="3">
        <v>0</v>
      </c>
      <c r="I11" s="7">
        <v>0</v>
      </c>
      <c r="J11" s="115">
        <v>1800</v>
      </c>
      <c r="K11" s="1"/>
      <c r="L11" s="1"/>
      <c r="M11" s="1"/>
      <c r="N11" s="1"/>
      <c r="O11" s="1"/>
    </row>
    <row r="12" spans="1:15" ht="12.75">
      <c r="A12" s="3">
        <v>4260</v>
      </c>
      <c r="B12" s="2" t="s">
        <v>16</v>
      </c>
      <c r="C12" s="115">
        <v>4578.22</v>
      </c>
      <c r="D12" s="3">
        <v>787.42</v>
      </c>
      <c r="E12" s="116">
        <f t="shared" si="0"/>
        <v>5365.64</v>
      </c>
      <c r="F12" s="115">
        <v>3402.19</v>
      </c>
      <c r="G12" s="115">
        <v>3345.59</v>
      </c>
      <c r="H12" s="3">
        <v>0</v>
      </c>
      <c r="I12" s="116">
        <v>4200</v>
      </c>
      <c r="J12" s="115">
        <v>6000</v>
      </c>
      <c r="K12" s="1"/>
      <c r="L12" s="1"/>
      <c r="M12" s="1"/>
      <c r="N12" s="1"/>
      <c r="O12" s="1"/>
    </row>
    <row r="13" spans="1:15" ht="12.75">
      <c r="A13" s="3">
        <v>4270</v>
      </c>
      <c r="B13" s="2" t="s">
        <v>17</v>
      </c>
      <c r="C13" s="3">
        <v>0</v>
      </c>
      <c r="D13" s="3">
        <v>0</v>
      </c>
      <c r="E13" s="116">
        <f t="shared" si="0"/>
        <v>0</v>
      </c>
      <c r="F13" s="3">
        <v>0</v>
      </c>
      <c r="G13" s="3">
        <v>0</v>
      </c>
      <c r="H13" s="3">
        <v>0</v>
      </c>
      <c r="I13" s="7">
        <v>0</v>
      </c>
      <c r="J13" s="3">
        <v>0</v>
      </c>
      <c r="K13" s="1"/>
      <c r="L13" s="1"/>
      <c r="M13" s="1"/>
      <c r="N13" s="1"/>
      <c r="O13" s="1"/>
    </row>
    <row r="14" spans="1:15" ht="12.75">
      <c r="A14" s="3">
        <v>4280</v>
      </c>
      <c r="B14" s="2" t="s">
        <v>18</v>
      </c>
      <c r="C14" s="3">
        <v>0</v>
      </c>
      <c r="D14" s="3">
        <v>0</v>
      </c>
      <c r="E14" s="116">
        <f t="shared" si="0"/>
        <v>0</v>
      </c>
      <c r="F14" s="3">
        <v>0</v>
      </c>
      <c r="G14" s="3">
        <v>0</v>
      </c>
      <c r="H14" s="3">
        <v>0</v>
      </c>
      <c r="I14" s="7">
        <v>0</v>
      </c>
      <c r="J14" s="3">
        <v>0</v>
      </c>
      <c r="K14" s="1"/>
      <c r="L14" s="1"/>
      <c r="M14" s="1"/>
      <c r="N14" s="1"/>
      <c r="O14" s="1"/>
    </row>
    <row r="15" spans="1:15" ht="12.75">
      <c r="A15" s="3">
        <v>4300</v>
      </c>
      <c r="B15" s="2" t="s">
        <v>19</v>
      </c>
      <c r="C15" s="115">
        <v>2758.74</v>
      </c>
      <c r="D15" s="3">
        <v>919.5</v>
      </c>
      <c r="E15" s="116">
        <f t="shared" si="0"/>
        <v>3678.24</v>
      </c>
      <c r="F15" s="115">
        <v>2660</v>
      </c>
      <c r="G15" s="115">
        <v>3216.52</v>
      </c>
      <c r="H15" s="3">
        <v>0</v>
      </c>
      <c r="I15" s="116">
        <v>4100</v>
      </c>
      <c r="J15" s="115">
        <v>5000</v>
      </c>
      <c r="K15" s="1"/>
      <c r="L15" s="1"/>
      <c r="M15" s="1"/>
      <c r="N15" s="1"/>
      <c r="O15" s="1"/>
    </row>
    <row r="16" spans="1:15" ht="12.75">
      <c r="A16" s="3">
        <v>4410</v>
      </c>
      <c r="B16" s="2" t="s">
        <v>20</v>
      </c>
      <c r="C16" s="3"/>
      <c r="D16" s="3"/>
      <c r="E16" s="116">
        <f t="shared" si="0"/>
        <v>0</v>
      </c>
      <c r="F16" s="3">
        <v>0</v>
      </c>
      <c r="G16" s="3">
        <v>0</v>
      </c>
      <c r="H16" s="3">
        <v>0</v>
      </c>
      <c r="I16" s="7">
        <v>0</v>
      </c>
      <c r="J16" s="3">
        <v>234</v>
      </c>
      <c r="K16" s="1"/>
      <c r="L16" s="1"/>
      <c r="M16" s="1"/>
      <c r="N16" s="1"/>
      <c r="O16" s="1"/>
    </row>
    <row r="17" spans="1:15" ht="12.75">
      <c r="A17" s="3">
        <v>4430</v>
      </c>
      <c r="B17" s="2" t="s">
        <v>362</v>
      </c>
      <c r="C17" s="3"/>
      <c r="D17" s="3"/>
      <c r="E17" s="116"/>
      <c r="F17" s="3">
        <v>85</v>
      </c>
      <c r="G17" s="3">
        <v>85</v>
      </c>
      <c r="H17" s="3">
        <v>0</v>
      </c>
      <c r="I17" s="7">
        <v>85</v>
      </c>
      <c r="J17" s="3">
        <v>200</v>
      </c>
      <c r="K17" s="1"/>
      <c r="L17" s="1"/>
      <c r="M17" s="1"/>
      <c r="N17" s="1"/>
      <c r="O17" s="1"/>
    </row>
    <row r="18" spans="1:15" ht="12.75">
      <c r="A18" s="3">
        <v>4580</v>
      </c>
      <c r="B18" s="2" t="s">
        <v>354</v>
      </c>
      <c r="C18" s="115">
        <v>3233.31</v>
      </c>
      <c r="D18" s="3"/>
      <c r="E18" s="116">
        <v>3233.31</v>
      </c>
      <c r="F18" s="3">
        <v>0</v>
      </c>
      <c r="G18" s="115">
        <v>98805.95</v>
      </c>
      <c r="H18" s="3">
        <v>0</v>
      </c>
      <c r="I18" s="116">
        <v>98805.95</v>
      </c>
      <c r="J18" s="3">
        <v>0</v>
      </c>
      <c r="K18" s="1"/>
      <c r="L18" s="1"/>
      <c r="M18" s="1"/>
      <c r="N18" s="1"/>
      <c r="O18" s="1"/>
    </row>
    <row r="19" spans="1:15" ht="15.75" customHeight="1">
      <c r="A19" s="3">
        <v>4610</v>
      </c>
      <c r="B19" s="2" t="s">
        <v>355</v>
      </c>
      <c r="C19" s="115">
        <v>2109.5</v>
      </c>
      <c r="D19" s="3">
        <v>0</v>
      </c>
      <c r="E19" s="116">
        <v>2109.5</v>
      </c>
      <c r="F19" s="3"/>
      <c r="G19" s="115"/>
      <c r="H19" s="3"/>
      <c r="I19" s="116"/>
      <c r="J19" s="3"/>
      <c r="K19" s="1"/>
      <c r="L19" s="1"/>
      <c r="M19" s="1"/>
      <c r="N19" s="1"/>
      <c r="O19" s="1"/>
    </row>
    <row r="20" spans="1:15" ht="25.5">
      <c r="A20" s="3">
        <v>4440</v>
      </c>
      <c r="B20" s="2" t="s">
        <v>21</v>
      </c>
      <c r="C20" s="115">
        <v>19436</v>
      </c>
      <c r="D20" s="3">
        <v>0</v>
      </c>
      <c r="E20" s="116">
        <f t="shared" si="0"/>
        <v>19436</v>
      </c>
      <c r="F20" s="3">
        <v>0</v>
      </c>
      <c r="G20" s="3">
        <v>0</v>
      </c>
      <c r="H20" s="115">
        <v>9276</v>
      </c>
      <c r="I20" s="7">
        <v>0</v>
      </c>
      <c r="J20" s="115">
        <v>22066</v>
      </c>
      <c r="K20" s="1"/>
      <c r="L20" s="1"/>
      <c r="M20" s="1"/>
      <c r="N20" s="1"/>
      <c r="O20" s="1"/>
    </row>
    <row r="21" spans="1:15" ht="25.5">
      <c r="A21" s="3">
        <v>6050</v>
      </c>
      <c r="B21" s="2" t="s">
        <v>23</v>
      </c>
      <c r="C21" s="3">
        <v>0</v>
      </c>
      <c r="D21" s="3">
        <v>0</v>
      </c>
      <c r="E21" s="116">
        <f t="shared" si="0"/>
        <v>0</v>
      </c>
      <c r="F21" s="3">
        <v>0</v>
      </c>
      <c r="G21" s="3">
        <v>0</v>
      </c>
      <c r="H21" s="3">
        <v>0</v>
      </c>
      <c r="I21" s="7">
        <v>0</v>
      </c>
      <c r="J21" s="3">
        <v>0</v>
      </c>
      <c r="K21" s="1"/>
      <c r="L21" s="1"/>
      <c r="M21" s="1"/>
      <c r="N21" s="1"/>
      <c r="O21" s="1"/>
    </row>
    <row r="22" spans="1:15" ht="25.5">
      <c r="A22" s="3">
        <v>6060</v>
      </c>
      <c r="B22" s="2" t="s">
        <v>22</v>
      </c>
      <c r="C22" s="3">
        <v>0</v>
      </c>
      <c r="D22" s="3">
        <v>0</v>
      </c>
      <c r="E22" s="116">
        <f t="shared" si="0"/>
        <v>0</v>
      </c>
      <c r="F22" s="3">
        <v>0</v>
      </c>
      <c r="G22" s="3">
        <v>0</v>
      </c>
      <c r="H22" s="3">
        <v>0</v>
      </c>
      <c r="I22" s="7">
        <v>0</v>
      </c>
      <c r="J22" s="3">
        <v>0</v>
      </c>
      <c r="K22" s="1"/>
      <c r="L22" s="1"/>
      <c r="M22" s="1"/>
      <c r="N22" s="1"/>
      <c r="O22" s="1"/>
    </row>
    <row r="23" spans="1:15" ht="12.75">
      <c r="A23" s="196" t="s">
        <v>34</v>
      </c>
      <c r="B23" s="197"/>
      <c r="C23" s="112">
        <f aca="true" t="shared" si="1" ref="C23:J23">SUM(C6:C22)</f>
        <v>282115.44000000006</v>
      </c>
      <c r="D23" s="112">
        <f t="shared" si="1"/>
        <v>132023.13999999998</v>
      </c>
      <c r="E23" s="112">
        <f t="shared" si="1"/>
        <v>414138.58</v>
      </c>
      <c r="F23" s="112">
        <f t="shared" si="1"/>
        <v>309976</v>
      </c>
      <c r="G23" s="112">
        <f t="shared" si="1"/>
        <v>338836.75</v>
      </c>
      <c r="H23" s="112">
        <f t="shared" si="1"/>
        <v>44600.53</v>
      </c>
      <c r="I23" s="112">
        <f t="shared" si="1"/>
        <v>155562.8</v>
      </c>
      <c r="J23" s="112">
        <f t="shared" si="1"/>
        <v>302300</v>
      </c>
      <c r="K23" s="1"/>
      <c r="L23" s="1"/>
      <c r="M23" s="1"/>
      <c r="N23" s="1"/>
      <c r="O23" s="1"/>
    </row>
    <row r="24" spans="1:15" ht="12.75">
      <c r="A24" s="8"/>
      <c r="B24" s="8"/>
      <c r="C24" s="275"/>
      <c r="D24" s="275"/>
      <c r="E24" s="275"/>
      <c r="F24" s="275"/>
      <c r="G24" s="275"/>
      <c r="H24" s="275"/>
      <c r="I24" s="275"/>
      <c r="J24" s="275"/>
      <c r="K24" s="1"/>
      <c r="L24" s="1"/>
      <c r="M24" s="1"/>
      <c r="N24" s="1"/>
      <c r="O24" s="1"/>
    </row>
    <row r="25" spans="1:15" ht="12.75">
      <c r="A25" s="8"/>
      <c r="B25" s="8"/>
      <c r="C25" s="275"/>
      <c r="D25" s="275"/>
      <c r="E25" s="275"/>
      <c r="F25" s="275"/>
      <c r="G25" s="275"/>
      <c r="H25" s="275"/>
      <c r="I25" s="275"/>
      <c r="J25" s="275"/>
      <c r="K25" s="1"/>
      <c r="L25" s="1"/>
      <c r="M25" s="1"/>
      <c r="N25" s="1"/>
      <c r="O25" s="1"/>
    </row>
    <row r="26" spans="1:15" ht="12.75">
      <c r="A26" s="275"/>
      <c r="B26" s="275"/>
      <c r="C26" s="276"/>
      <c r="D26" s="276"/>
      <c r="E26" s="276"/>
      <c r="F26" s="276"/>
      <c r="G26" s="276"/>
      <c r="H26" s="276"/>
      <c r="I26" s="276"/>
      <c r="J26" s="276"/>
      <c r="K26" s="1"/>
      <c r="L26" s="1"/>
      <c r="M26" s="1"/>
      <c r="N26" s="1"/>
      <c r="O26" s="1"/>
    </row>
    <row r="27" spans="1:15" ht="12.75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1"/>
      <c r="L27" s="1"/>
      <c r="M27" s="1"/>
      <c r="N27" s="1"/>
      <c r="O27" s="1"/>
    </row>
    <row r="28" spans="1:15" ht="12.75">
      <c r="A28" s="8"/>
      <c r="B28" s="8"/>
      <c r="C28" s="275"/>
      <c r="D28" s="275"/>
      <c r="E28" s="275"/>
      <c r="F28" s="275"/>
      <c r="G28" s="275"/>
      <c r="H28" s="275"/>
      <c r="I28" s="275"/>
      <c r="J28" s="275"/>
      <c r="K28" s="1"/>
      <c r="L28" s="1"/>
      <c r="M28" s="1"/>
      <c r="N28" s="1"/>
      <c r="O28" s="1"/>
    </row>
    <row r="29" spans="1:15" ht="12.75">
      <c r="A29" s="8"/>
      <c r="B29" s="8"/>
      <c r="C29" s="275"/>
      <c r="D29" s="275"/>
      <c r="E29" s="275"/>
      <c r="F29" s="275"/>
      <c r="G29" s="275"/>
      <c r="H29" s="275"/>
      <c r="I29" s="275"/>
      <c r="J29" s="275"/>
      <c r="K29" s="1"/>
      <c r="L29" s="1"/>
      <c r="M29" s="1"/>
      <c r="N29" s="1"/>
      <c r="O29" s="1"/>
    </row>
    <row r="30" spans="1:15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  <c r="O30" s="1"/>
    </row>
  </sheetData>
  <mergeCells count="9">
    <mergeCell ref="C28:J28"/>
    <mergeCell ref="C29:J29"/>
    <mergeCell ref="C24:J24"/>
    <mergeCell ref="C25:J25"/>
    <mergeCell ref="A23:B23"/>
    <mergeCell ref="A26:B26"/>
    <mergeCell ref="A27:B27"/>
    <mergeCell ref="C26:J26"/>
    <mergeCell ref="C27:J27"/>
  </mergeCells>
  <printOptions/>
  <pageMargins left="0.75" right="0.75" top="1" bottom="1" header="0.5" footer="0.5"/>
  <pageSetup orientation="portrait" paperSize="9"/>
  <rowBreaks count="1" manualBreakCount="1">
    <brk id="24" max="255" man="1"/>
  </rowBreaks>
  <colBreaks count="1" manualBreakCount="1">
    <brk id="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C1">
      <selection activeCell="F7" sqref="F7"/>
    </sheetView>
  </sheetViews>
  <sheetFormatPr defaultColWidth="9.00390625" defaultRowHeight="12.75"/>
  <cols>
    <col min="1" max="1" width="4.375" style="0" customWidth="1"/>
    <col min="2" max="2" width="28.00390625" style="0" customWidth="1"/>
    <col min="3" max="3" width="10.00390625" style="0" customWidth="1"/>
    <col min="4" max="4" width="10.00390625" style="0" bestFit="1" customWidth="1"/>
    <col min="5" max="5" width="10.125" style="0" customWidth="1"/>
    <col min="6" max="6" width="9.75390625" style="0" customWidth="1"/>
    <col min="7" max="8" width="10.00390625" style="0" customWidth="1"/>
    <col min="9" max="9" width="9.625" style="0" customWidth="1"/>
    <col min="10" max="15" width="9.875" style="0" bestFit="1" customWidth="1"/>
  </cols>
  <sheetData>
    <row r="1" ht="12.75">
      <c r="N1" t="s">
        <v>347</v>
      </c>
    </row>
    <row r="2" ht="12.75">
      <c r="A2" s="29" t="s">
        <v>35</v>
      </c>
    </row>
    <row r="3" ht="12.75">
      <c r="A3" s="29" t="s">
        <v>36</v>
      </c>
    </row>
    <row r="5" spans="1:15" ht="25.5">
      <c r="A5" s="10" t="s">
        <v>37</v>
      </c>
      <c r="B5" s="10" t="s">
        <v>2</v>
      </c>
      <c r="C5" s="10" t="s">
        <v>40</v>
      </c>
      <c r="D5" s="10" t="s">
        <v>450</v>
      </c>
      <c r="E5" s="10" t="s">
        <v>49</v>
      </c>
      <c r="F5" s="10" t="s">
        <v>38</v>
      </c>
      <c r="G5" s="10" t="s">
        <v>41</v>
      </c>
      <c r="H5" s="10" t="s">
        <v>42</v>
      </c>
      <c r="I5" s="10" t="s">
        <v>43</v>
      </c>
      <c r="J5" s="10" t="s">
        <v>44</v>
      </c>
      <c r="K5" s="10" t="s">
        <v>45</v>
      </c>
      <c r="L5" s="10" t="s">
        <v>48</v>
      </c>
      <c r="M5" s="13" t="s">
        <v>46</v>
      </c>
      <c r="N5" s="13" t="s">
        <v>47</v>
      </c>
      <c r="O5" s="13" t="s">
        <v>50</v>
      </c>
    </row>
    <row r="6" spans="1:15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2">
        <v>13</v>
      </c>
      <c r="N6" s="12">
        <v>14</v>
      </c>
      <c r="O6" s="12">
        <v>15</v>
      </c>
    </row>
    <row r="7" spans="1:15" ht="12.75">
      <c r="A7" s="16" t="s">
        <v>51</v>
      </c>
      <c r="B7" s="16" t="s">
        <v>128</v>
      </c>
      <c r="C7" s="75">
        <f aca="true" t="shared" si="0" ref="C7:I7">C8+C37+C42+C46</f>
        <v>12033852</v>
      </c>
      <c r="D7" s="75">
        <f t="shared" si="0"/>
        <v>11173167</v>
      </c>
      <c r="E7" s="75">
        <f t="shared" si="0"/>
        <v>10394606</v>
      </c>
      <c r="F7" s="75">
        <f t="shared" si="0"/>
        <v>10920600</v>
      </c>
      <c r="G7" s="75">
        <f t="shared" si="0"/>
        <v>10921458</v>
      </c>
      <c r="H7" s="75">
        <f t="shared" si="0"/>
        <v>10923165</v>
      </c>
      <c r="I7" s="75">
        <f t="shared" si="0"/>
        <v>10935490</v>
      </c>
      <c r="J7" s="80">
        <f aca="true" t="shared" si="1" ref="J7:J35">D7/C7</f>
        <v>0.9284780135238492</v>
      </c>
      <c r="K7" s="80">
        <f aca="true" t="shared" si="2" ref="K7:K35">E7/C7</f>
        <v>0.8637804420396727</v>
      </c>
      <c r="L7" s="80">
        <f aca="true" t="shared" si="3" ref="L7:L35">F7/E7</f>
        <v>1.0506025913824921</v>
      </c>
      <c r="M7" s="72">
        <f aca="true" t="shared" si="4" ref="M7:M35">G7/F7</f>
        <v>1.0000785671116972</v>
      </c>
      <c r="N7" s="72">
        <f aca="true" t="shared" si="5" ref="N7:N35">H7/G7</f>
        <v>1.0001562978129843</v>
      </c>
      <c r="O7" s="72">
        <f aca="true" t="shared" si="6" ref="O7:O35">I7/H7</f>
        <v>1.0011283359722205</v>
      </c>
    </row>
    <row r="8" spans="1:15" ht="12.75">
      <c r="A8" s="17" t="s">
        <v>52</v>
      </c>
      <c r="B8" s="17" t="s">
        <v>76</v>
      </c>
      <c r="C8" s="76">
        <f aca="true" t="shared" si="7" ref="C8:I8">C9+C19+C25+C29</f>
        <v>2120855</v>
      </c>
      <c r="D8" s="76">
        <f t="shared" si="7"/>
        <v>2142637</v>
      </c>
      <c r="E8" s="76">
        <f t="shared" si="7"/>
        <v>1512150</v>
      </c>
      <c r="F8" s="76">
        <f t="shared" si="7"/>
        <v>1419390</v>
      </c>
      <c r="G8" s="76">
        <f t="shared" si="7"/>
        <v>1432300</v>
      </c>
      <c r="H8" s="76">
        <f t="shared" si="7"/>
        <v>1433300</v>
      </c>
      <c r="I8" s="76">
        <f t="shared" si="7"/>
        <v>1429800</v>
      </c>
      <c r="J8" s="81">
        <f t="shared" si="1"/>
        <v>1.0102703862357398</v>
      </c>
      <c r="K8" s="81">
        <f t="shared" si="2"/>
        <v>0.7129907513714988</v>
      </c>
      <c r="L8" s="81">
        <f t="shared" si="3"/>
        <v>0.9386568792778495</v>
      </c>
      <c r="M8" s="86">
        <f t="shared" si="4"/>
        <v>1.0090954564989185</v>
      </c>
      <c r="N8" s="86">
        <f t="shared" si="5"/>
        <v>1.0006981777560566</v>
      </c>
      <c r="O8" s="86">
        <f t="shared" si="6"/>
        <v>0.9975580827461104</v>
      </c>
    </row>
    <row r="9" spans="1:15" ht="12.75">
      <c r="A9" s="18" t="s">
        <v>53</v>
      </c>
      <c r="B9" s="18" t="s">
        <v>54</v>
      </c>
      <c r="C9" s="77">
        <f aca="true" t="shared" si="8" ref="C9:I9">C10+C11+C12+C13+C14+C15+C16+C17+C18</f>
        <v>1142143</v>
      </c>
      <c r="D9" s="77">
        <f t="shared" si="8"/>
        <v>1344833</v>
      </c>
      <c r="E9" s="77">
        <f t="shared" si="8"/>
        <v>1204750</v>
      </c>
      <c r="F9" s="77">
        <f t="shared" si="8"/>
        <v>1215658</v>
      </c>
      <c r="G9" s="77">
        <f t="shared" si="8"/>
        <v>1227300</v>
      </c>
      <c r="H9" s="77">
        <f t="shared" si="8"/>
        <v>1239300</v>
      </c>
      <c r="I9" s="77">
        <f t="shared" si="8"/>
        <v>1253300</v>
      </c>
      <c r="J9" s="82">
        <f t="shared" si="1"/>
        <v>1.1774646432189315</v>
      </c>
      <c r="K9" s="82">
        <f t="shared" si="2"/>
        <v>1.0548153777591773</v>
      </c>
      <c r="L9" s="82">
        <f t="shared" si="3"/>
        <v>1.0090541606142354</v>
      </c>
      <c r="M9" s="87">
        <f t="shared" si="4"/>
        <v>1.009576706606628</v>
      </c>
      <c r="N9" s="87">
        <f t="shared" si="5"/>
        <v>1.0097775604986556</v>
      </c>
      <c r="O9" s="87">
        <f t="shared" si="6"/>
        <v>1.0112966997498587</v>
      </c>
    </row>
    <row r="10" spans="1:15" ht="14.25" customHeight="1">
      <c r="A10" s="2" t="s">
        <v>55</v>
      </c>
      <c r="B10" s="2" t="s">
        <v>56</v>
      </c>
      <c r="C10" s="45">
        <v>63951</v>
      </c>
      <c r="D10" s="45">
        <v>67150</v>
      </c>
      <c r="E10" s="45">
        <v>52063</v>
      </c>
      <c r="F10" s="45">
        <v>64200</v>
      </c>
      <c r="G10" s="45">
        <v>67000</v>
      </c>
      <c r="H10" s="45">
        <v>68000</v>
      </c>
      <c r="I10" s="45">
        <v>70000</v>
      </c>
      <c r="J10" s="83">
        <f t="shared" si="1"/>
        <v>1.0500226736094822</v>
      </c>
      <c r="K10" s="83">
        <f t="shared" si="2"/>
        <v>0.8141076761895827</v>
      </c>
      <c r="L10" s="83">
        <f t="shared" si="3"/>
        <v>1.2331214105986978</v>
      </c>
      <c r="M10" s="88">
        <f t="shared" si="4"/>
        <v>1.043613707165109</v>
      </c>
      <c r="N10" s="88">
        <f t="shared" si="5"/>
        <v>1.0149253731343284</v>
      </c>
      <c r="O10" s="88">
        <f t="shared" si="6"/>
        <v>1.0294117647058822</v>
      </c>
    </row>
    <row r="11" spans="1:15" ht="12.75">
      <c r="A11" s="2" t="s">
        <v>57</v>
      </c>
      <c r="B11" s="2" t="s">
        <v>58</v>
      </c>
      <c r="C11" s="45">
        <v>35202</v>
      </c>
      <c r="D11" s="45">
        <v>38000</v>
      </c>
      <c r="E11" s="45">
        <v>36756</v>
      </c>
      <c r="F11" s="45">
        <v>40000</v>
      </c>
      <c r="G11" s="45">
        <v>42000</v>
      </c>
      <c r="H11" s="45">
        <v>43000</v>
      </c>
      <c r="I11" s="45">
        <v>44000</v>
      </c>
      <c r="J11" s="83">
        <f t="shared" si="1"/>
        <v>1.079484120220442</v>
      </c>
      <c r="K11" s="83">
        <f t="shared" si="2"/>
        <v>1.0441452190216465</v>
      </c>
      <c r="L11" s="83">
        <f t="shared" si="3"/>
        <v>1.0882576994232234</v>
      </c>
      <c r="M11" s="88">
        <f t="shared" si="4"/>
        <v>1.05</v>
      </c>
      <c r="N11" s="88">
        <f t="shared" si="5"/>
        <v>1.0238095238095237</v>
      </c>
      <c r="O11" s="88">
        <f t="shared" si="6"/>
        <v>1.0232558139534884</v>
      </c>
    </row>
    <row r="12" spans="1:15" ht="12.75">
      <c r="A12" s="2" t="s">
        <v>59</v>
      </c>
      <c r="B12" s="2" t="s">
        <v>60</v>
      </c>
      <c r="C12" s="45">
        <v>870993</v>
      </c>
      <c r="D12" s="45">
        <v>1000000</v>
      </c>
      <c r="E12" s="45">
        <v>897668</v>
      </c>
      <c r="F12" s="45">
        <v>915000</v>
      </c>
      <c r="G12" s="45">
        <v>920000</v>
      </c>
      <c r="H12" s="45">
        <v>930000</v>
      </c>
      <c r="I12" s="45">
        <v>930000</v>
      </c>
      <c r="J12" s="83">
        <f t="shared" si="1"/>
        <v>1.1481148528174165</v>
      </c>
      <c r="K12" s="83">
        <f t="shared" si="2"/>
        <v>1.0306259636989046</v>
      </c>
      <c r="L12" s="83">
        <f t="shared" si="3"/>
        <v>1.0193078064496006</v>
      </c>
      <c r="M12" s="88">
        <f t="shared" si="4"/>
        <v>1.005464480874317</v>
      </c>
      <c r="N12" s="88">
        <f t="shared" si="5"/>
        <v>1.0108695652173914</v>
      </c>
      <c r="O12" s="88">
        <f t="shared" si="6"/>
        <v>1</v>
      </c>
    </row>
    <row r="13" spans="1:15" ht="25.5">
      <c r="A13" s="2" t="s">
        <v>61</v>
      </c>
      <c r="B13" s="2" t="s">
        <v>62</v>
      </c>
      <c r="C13" s="45">
        <v>116670</v>
      </c>
      <c r="D13" s="45">
        <v>150000</v>
      </c>
      <c r="E13" s="45">
        <v>138432</v>
      </c>
      <c r="F13" s="45">
        <v>135000</v>
      </c>
      <c r="G13" s="45">
        <v>132000</v>
      </c>
      <c r="H13" s="45">
        <v>132000</v>
      </c>
      <c r="I13" s="45">
        <v>135000</v>
      </c>
      <c r="J13" s="83">
        <f t="shared" si="1"/>
        <v>1.2856775520699408</v>
      </c>
      <c r="K13" s="83">
        <f t="shared" si="2"/>
        <v>1.186526099254307</v>
      </c>
      <c r="L13" s="83">
        <f t="shared" si="3"/>
        <v>0.9752080443828016</v>
      </c>
      <c r="M13" s="88">
        <f t="shared" si="4"/>
        <v>0.9777777777777777</v>
      </c>
      <c r="N13" s="88">
        <f t="shared" si="5"/>
        <v>1</v>
      </c>
      <c r="O13" s="88">
        <f t="shared" si="6"/>
        <v>1.0227272727272727</v>
      </c>
    </row>
    <row r="14" spans="1:15" ht="25.5">
      <c r="A14" s="2" t="s">
        <v>64</v>
      </c>
      <c r="B14" s="2" t="s">
        <v>65</v>
      </c>
      <c r="C14" s="45">
        <v>36986</v>
      </c>
      <c r="D14" s="45">
        <v>67300</v>
      </c>
      <c r="E14" s="45">
        <v>67306</v>
      </c>
      <c r="F14" s="45">
        <v>46800</v>
      </c>
      <c r="G14" s="45">
        <v>50000</v>
      </c>
      <c r="H14" s="45">
        <v>50000</v>
      </c>
      <c r="I14" s="45">
        <v>58000</v>
      </c>
      <c r="J14" s="83">
        <f t="shared" si="1"/>
        <v>1.8196074190234142</v>
      </c>
      <c r="K14" s="83">
        <f t="shared" si="2"/>
        <v>1.8197696425674579</v>
      </c>
      <c r="L14" s="83">
        <f t="shared" si="3"/>
        <v>0.695331768341604</v>
      </c>
      <c r="M14" s="88">
        <f t="shared" si="4"/>
        <v>1.0683760683760684</v>
      </c>
      <c r="N14" s="88">
        <f t="shared" si="5"/>
        <v>1</v>
      </c>
      <c r="O14" s="88">
        <f t="shared" si="6"/>
        <v>1.16</v>
      </c>
    </row>
    <row r="15" spans="1:15" ht="15.75" customHeight="1">
      <c r="A15" s="2" t="s">
        <v>63</v>
      </c>
      <c r="B15" s="2" t="s">
        <v>66</v>
      </c>
      <c r="C15" s="45">
        <v>5265</v>
      </c>
      <c r="D15" s="45">
        <v>5000</v>
      </c>
      <c r="E15" s="45">
        <v>1874</v>
      </c>
      <c r="F15" s="45">
        <v>3000</v>
      </c>
      <c r="G15" s="45">
        <v>4000</v>
      </c>
      <c r="H15" s="45">
        <v>4000</v>
      </c>
      <c r="I15" s="45">
        <v>4000</v>
      </c>
      <c r="J15" s="83">
        <f t="shared" si="1"/>
        <v>0.949667616334283</v>
      </c>
      <c r="K15" s="83">
        <f t="shared" si="2"/>
        <v>0.35593542260208927</v>
      </c>
      <c r="L15" s="83">
        <f t="shared" si="3"/>
        <v>1.6008537886873</v>
      </c>
      <c r="M15" s="88">
        <f t="shared" si="4"/>
        <v>1.3333333333333333</v>
      </c>
      <c r="N15" s="88">
        <f t="shared" si="5"/>
        <v>1</v>
      </c>
      <c r="O15" s="88">
        <f t="shared" si="6"/>
        <v>1</v>
      </c>
    </row>
    <row r="16" spans="1:15" ht="15" customHeight="1">
      <c r="A16" s="2" t="s">
        <v>67</v>
      </c>
      <c r="B16" s="2" t="s">
        <v>68</v>
      </c>
      <c r="C16" s="45">
        <v>69</v>
      </c>
      <c r="D16" s="45">
        <v>500</v>
      </c>
      <c r="E16" s="45">
        <v>0</v>
      </c>
      <c r="F16" s="45">
        <v>300</v>
      </c>
      <c r="G16" s="45">
        <v>300</v>
      </c>
      <c r="H16" s="45">
        <v>300</v>
      </c>
      <c r="I16" s="45">
        <v>300</v>
      </c>
      <c r="J16" s="83">
        <f t="shared" si="1"/>
        <v>7.246376811594203</v>
      </c>
      <c r="K16" s="83">
        <f t="shared" si="2"/>
        <v>0</v>
      </c>
      <c r="L16" s="83">
        <v>0</v>
      </c>
      <c r="M16" s="88">
        <f t="shared" si="4"/>
        <v>1</v>
      </c>
      <c r="N16" s="88">
        <f t="shared" si="5"/>
        <v>1</v>
      </c>
      <c r="O16" s="88">
        <f t="shared" si="6"/>
        <v>1</v>
      </c>
    </row>
    <row r="17" spans="1:15" ht="51">
      <c r="A17" s="2" t="s">
        <v>69</v>
      </c>
      <c r="B17" s="2" t="s">
        <v>70</v>
      </c>
      <c r="C17" s="45">
        <v>11502</v>
      </c>
      <c r="D17" s="45">
        <v>15000</v>
      </c>
      <c r="E17" s="45">
        <v>7961</v>
      </c>
      <c r="F17" s="45">
        <v>10000</v>
      </c>
      <c r="G17" s="45">
        <v>10000</v>
      </c>
      <c r="H17" s="45">
        <v>10000</v>
      </c>
      <c r="I17" s="45">
        <v>10000</v>
      </c>
      <c r="J17" s="83">
        <f t="shared" si="1"/>
        <v>1.3041210224308817</v>
      </c>
      <c r="K17" s="83">
        <f t="shared" si="2"/>
        <v>0.6921404973048165</v>
      </c>
      <c r="L17" s="83">
        <f t="shared" si="3"/>
        <v>1.2561236025624922</v>
      </c>
      <c r="M17" s="88">
        <f t="shared" si="4"/>
        <v>1</v>
      </c>
      <c r="N17" s="88">
        <f t="shared" si="5"/>
        <v>1</v>
      </c>
      <c r="O17" s="88">
        <f t="shared" si="6"/>
        <v>1</v>
      </c>
    </row>
    <row r="18" spans="1:15" ht="17.25" customHeight="1">
      <c r="A18" s="2" t="s">
        <v>71</v>
      </c>
      <c r="B18" s="2" t="s">
        <v>72</v>
      </c>
      <c r="C18" s="45">
        <v>1505</v>
      </c>
      <c r="D18" s="45">
        <v>1883</v>
      </c>
      <c r="E18" s="45">
        <v>2690</v>
      </c>
      <c r="F18" s="45">
        <v>1358</v>
      </c>
      <c r="G18" s="45">
        <v>2000</v>
      </c>
      <c r="H18" s="45">
        <v>2000</v>
      </c>
      <c r="I18" s="45">
        <v>2000</v>
      </c>
      <c r="J18" s="83">
        <f t="shared" si="1"/>
        <v>1.2511627906976743</v>
      </c>
      <c r="K18" s="83">
        <f t="shared" si="2"/>
        <v>1.787375415282392</v>
      </c>
      <c r="L18" s="83">
        <f t="shared" si="3"/>
        <v>0.5048327137546469</v>
      </c>
      <c r="M18" s="88">
        <f t="shared" si="4"/>
        <v>1.4727540500736378</v>
      </c>
      <c r="N18" s="88">
        <f t="shared" si="5"/>
        <v>1</v>
      </c>
      <c r="O18" s="88">
        <f t="shared" si="6"/>
        <v>1</v>
      </c>
    </row>
    <row r="19" spans="1:15" ht="12.75">
      <c r="A19" s="15" t="s">
        <v>77</v>
      </c>
      <c r="B19" s="15" t="s">
        <v>74</v>
      </c>
      <c r="C19" s="78">
        <f aca="true" t="shared" si="9" ref="C19:I19">C20+C21+C22+C23+C24</f>
        <v>71079</v>
      </c>
      <c r="D19" s="78">
        <f t="shared" si="9"/>
        <v>110000</v>
      </c>
      <c r="E19" s="78">
        <f t="shared" si="9"/>
        <v>67276</v>
      </c>
      <c r="F19" s="78">
        <f t="shared" si="9"/>
        <v>71400</v>
      </c>
      <c r="G19" s="78">
        <f t="shared" si="9"/>
        <v>83500</v>
      </c>
      <c r="H19" s="78">
        <f t="shared" si="9"/>
        <v>84000</v>
      </c>
      <c r="I19" s="78">
        <f t="shared" si="9"/>
        <v>87000</v>
      </c>
      <c r="J19" s="84">
        <f t="shared" si="1"/>
        <v>1.5475738263059413</v>
      </c>
      <c r="K19" s="84">
        <f t="shared" si="2"/>
        <v>0.9464961521687136</v>
      </c>
      <c r="L19" s="84">
        <f t="shared" si="3"/>
        <v>1.0612997205541352</v>
      </c>
      <c r="M19" s="89">
        <f t="shared" si="4"/>
        <v>1.169467787114846</v>
      </c>
      <c r="N19" s="89">
        <f t="shared" si="5"/>
        <v>1.0059880239520957</v>
      </c>
      <c r="O19" s="89">
        <f t="shared" si="6"/>
        <v>1.0357142857142858</v>
      </c>
    </row>
    <row r="20" spans="1:15" ht="12.75">
      <c r="A20" s="2" t="s">
        <v>78</v>
      </c>
      <c r="B20" s="2" t="s">
        <v>80</v>
      </c>
      <c r="C20" s="45">
        <v>11790</v>
      </c>
      <c r="D20" s="45">
        <v>30000</v>
      </c>
      <c r="E20" s="45">
        <v>10097</v>
      </c>
      <c r="F20" s="45">
        <v>12000</v>
      </c>
      <c r="G20" s="45">
        <v>12000</v>
      </c>
      <c r="H20" s="45">
        <v>12000</v>
      </c>
      <c r="I20" s="45">
        <v>13000</v>
      </c>
      <c r="J20" s="83">
        <f t="shared" si="1"/>
        <v>2.544529262086514</v>
      </c>
      <c r="K20" s="83">
        <f t="shared" si="2"/>
        <v>0.8564037319762511</v>
      </c>
      <c r="L20" s="83">
        <f t="shared" si="3"/>
        <v>1.1884718233138556</v>
      </c>
      <c r="M20" s="88">
        <f t="shared" si="4"/>
        <v>1</v>
      </c>
      <c r="N20" s="88">
        <f t="shared" si="5"/>
        <v>1</v>
      </c>
      <c r="O20" s="88">
        <f t="shared" si="6"/>
        <v>1.0833333333333333</v>
      </c>
    </row>
    <row r="21" spans="1:15" ht="12.75">
      <c r="A21" s="2" t="s">
        <v>79</v>
      </c>
      <c r="B21" s="2" t="s">
        <v>81</v>
      </c>
      <c r="C21" s="45">
        <v>6420</v>
      </c>
      <c r="D21" s="45">
        <v>10000</v>
      </c>
      <c r="E21" s="45">
        <v>6533</v>
      </c>
      <c r="F21" s="45">
        <v>8400</v>
      </c>
      <c r="G21" s="45">
        <v>9000</v>
      </c>
      <c r="H21" s="45">
        <v>9500</v>
      </c>
      <c r="I21" s="45">
        <v>11000</v>
      </c>
      <c r="J21" s="83">
        <f t="shared" si="1"/>
        <v>1.557632398753894</v>
      </c>
      <c r="K21" s="83">
        <f t="shared" si="2"/>
        <v>1.017601246105919</v>
      </c>
      <c r="L21" s="83">
        <f t="shared" si="3"/>
        <v>1.2857798867289147</v>
      </c>
      <c r="M21" s="88">
        <f t="shared" si="4"/>
        <v>1.0714285714285714</v>
      </c>
      <c r="N21" s="88">
        <f t="shared" si="5"/>
        <v>1.0555555555555556</v>
      </c>
      <c r="O21" s="88">
        <f t="shared" si="6"/>
        <v>1.1578947368421053</v>
      </c>
    </row>
    <row r="22" spans="1:15" ht="12.75">
      <c r="A22" s="2" t="s">
        <v>82</v>
      </c>
      <c r="B22" s="2" t="s">
        <v>83</v>
      </c>
      <c r="C22" s="45">
        <v>6559</v>
      </c>
      <c r="D22" s="45">
        <v>10000</v>
      </c>
      <c r="E22" s="45">
        <v>6968</v>
      </c>
      <c r="F22" s="45">
        <v>6000</v>
      </c>
      <c r="G22" s="45">
        <v>7000</v>
      </c>
      <c r="H22" s="45">
        <v>7000</v>
      </c>
      <c r="I22" s="45">
        <v>7000</v>
      </c>
      <c r="J22" s="83">
        <f t="shared" si="1"/>
        <v>1.5246226558926665</v>
      </c>
      <c r="K22" s="83">
        <f t="shared" si="2"/>
        <v>1.06235706662601</v>
      </c>
      <c r="L22" s="83">
        <f t="shared" si="3"/>
        <v>0.8610792192881745</v>
      </c>
      <c r="M22" s="88">
        <f t="shared" si="4"/>
        <v>1.1666666666666667</v>
      </c>
      <c r="N22" s="88">
        <f t="shared" si="5"/>
        <v>1</v>
      </c>
      <c r="O22" s="88">
        <f t="shared" si="6"/>
        <v>1</v>
      </c>
    </row>
    <row r="23" spans="1:15" ht="25.5">
      <c r="A23" s="2" t="s">
        <v>84</v>
      </c>
      <c r="B23" s="2" t="s">
        <v>85</v>
      </c>
      <c r="C23" s="45">
        <v>4170</v>
      </c>
      <c r="D23" s="45">
        <v>10000</v>
      </c>
      <c r="E23" s="45">
        <v>5700</v>
      </c>
      <c r="F23" s="45">
        <v>5000</v>
      </c>
      <c r="G23" s="45">
        <v>5500</v>
      </c>
      <c r="H23" s="45">
        <v>5500</v>
      </c>
      <c r="I23" s="45">
        <v>6000</v>
      </c>
      <c r="J23" s="83">
        <f t="shared" si="1"/>
        <v>2.3980815347721824</v>
      </c>
      <c r="K23" s="83">
        <f t="shared" si="2"/>
        <v>1.3669064748201438</v>
      </c>
      <c r="L23" s="83">
        <f t="shared" si="3"/>
        <v>0.8771929824561403</v>
      </c>
      <c r="M23" s="88">
        <f t="shared" si="4"/>
        <v>1.1</v>
      </c>
      <c r="N23" s="88">
        <f t="shared" si="5"/>
        <v>1</v>
      </c>
      <c r="O23" s="88">
        <f t="shared" si="6"/>
        <v>1.0909090909090908</v>
      </c>
    </row>
    <row r="24" spans="1:15" ht="27.75" customHeight="1">
      <c r="A24" s="2" t="s">
        <v>86</v>
      </c>
      <c r="B24" s="2" t="s">
        <v>87</v>
      </c>
      <c r="C24" s="45">
        <v>42140</v>
      </c>
      <c r="D24" s="45">
        <v>50000</v>
      </c>
      <c r="E24" s="45">
        <v>37978</v>
      </c>
      <c r="F24" s="45">
        <v>40000</v>
      </c>
      <c r="G24" s="45">
        <v>50000</v>
      </c>
      <c r="H24" s="45">
        <v>50000</v>
      </c>
      <c r="I24" s="45">
        <v>50000</v>
      </c>
      <c r="J24" s="83">
        <f t="shared" si="1"/>
        <v>1.1865211200759374</v>
      </c>
      <c r="K24" s="83">
        <f t="shared" si="2"/>
        <v>0.901233981964879</v>
      </c>
      <c r="L24" s="83">
        <f t="shared" si="3"/>
        <v>1.053241350255411</v>
      </c>
      <c r="M24" s="88">
        <f t="shared" si="4"/>
        <v>1.25</v>
      </c>
      <c r="N24" s="88">
        <f t="shared" si="5"/>
        <v>1</v>
      </c>
      <c r="O24" s="88">
        <f t="shared" si="6"/>
        <v>1</v>
      </c>
    </row>
    <row r="25" spans="1:15" ht="12.75">
      <c r="A25" s="15" t="s">
        <v>88</v>
      </c>
      <c r="B25" s="15" t="s">
        <v>89</v>
      </c>
      <c r="C25" s="78">
        <f aca="true" t="shared" si="10" ref="C25:I25">C26+C27+C28</f>
        <v>124929</v>
      </c>
      <c r="D25" s="78">
        <f t="shared" si="10"/>
        <v>93000</v>
      </c>
      <c r="E25" s="78">
        <f t="shared" si="10"/>
        <v>88200</v>
      </c>
      <c r="F25" s="78">
        <f t="shared" si="10"/>
        <v>57500</v>
      </c>
      <c r="G25" s="78">
        <f t="shared" si="10"/>
        <v>47500</v>
      </c>
      <c r="H25" s="78">
        <f t="shared" si="10"/>
        <v>35500</v>
      </c>
      <c r="I25" s="78">
        <f t="shared" si="10"/>
        <v>13500</v>
      </c>
      <c r="J25" s="84">
        <f t="shared" si="1"/>
        <v>0.7444228321686718</v>
      </c>
      <c r="K25" s="84">
        <f t="shared" si="2"/>
        <v>0.7060010085728694</v>
      </c>
      <c r="L25" s="84">
        <f t="shared" si="3"/>
        <v>0.6519274376417233</v>
      </c>
      <c r="M25" s="89">
        <f t="shared" si="4"/>
        <v>0.8260869565217391</v>
      </c>
      <c r="N25" s="89">
        <f t="shared" si="5"/>
        <v>0.7473684210526316</v>
      </c>
      <c r="O25" s="89">
        <f t="shared" si="6"/>
        <v>0.38028169014084506</v>
      </c>
    </row>
    <row r="26" spans="1:15" ht="25.5">
      <c r="A26" s="2" t="s">
        <v>90</v>
      </c>
      <c r="B26" s="2" t="s">
        <v>91</v>
      </c>
      <c r="C26" s="45">
        <v>896</v>
      </c>
      <c r="D26" s="45">
        <v>1000</v>
      </c>
      <c r="E26" s="45">
        <v>3256</v>
      </c>
      <c r="F26" s="45">
        <v>500</v>
      </c>
      <c r="G26" s="45">
        <v>500</v>
      </c>
      <c r="H26" s="45">
        <v>500</v>
      </c>
      <c r="I26" s="45">
        <v>500</v>
      </c>
      <c r="J26" s="83">
        <f t="shared" si="1"/>
        <v>1.1160714285714286</v>
      </c>
      <c r="K26" s="83">
        <f t="shared" si="2"/>
        <v>3.6339285714285716</v>
      </c>
      <c r="L26" s="83">
        <f t="shared" si="3"/>
        <v>0.15356265356265356</v>
      </c>
      <c r="M26" s="88">
        <f t="shared" si="4"/>
        <v>1</v>
      </c>
      <c r="N26" s="88">
        <f t="shared" si="5"/>
        <v>1</v>
      </c>
      <c r="O26" s="88">
        <f t="shared" si="6"/>
        <v>1</v>
      </c>
    </row>
    <row r="27" spans="1:15" ht="25.5">
      <c r="A27" s="2" t="s">
        <v>92</v>
      </c>
      <c r="B27" s="2" t="s">
        <v>94</v>
      </c>
      <c r="C27" s="45">
        <v>38286</v>
      </c>
      <c r="D27" s="45">
        <v>42000</v>
      </c>
      <c r="E27" s="45">
        <v>30218</v>
      </c>
      <c r="F27" s="45">
        <v>22000</v>
      </c>
      <c r="G27" s="45">
        <v>15000</v>
      </c>
      <c r="H27" s="45">
        <v>10000</v>
      </c>
      <c r="I27" s="45">
        <v>8000</v>
      </c>
      <c r="J27" s="83">
        <f t="shared" si="1"/>
        <v>1.097006738755681</v>
      </c>
      <c r="K27" s="83">
        <f t="shared" si="2"/>
        <v>0.7892702293266468</v>
      </c>
      <c r="L27" s="83">
        <f t="shared" si="3"/>
        <v>0.7280428883446952</v>
      </c>
      <c r="M27" s="88">
        <f t="shared" si="4"/>
        <v>0.6818181818181818</v>
      </c>
      <c r="N27" s="88">
        <f t="shared" si="5"/>
        <v>0.6666666666666666</v>
      </c>
      <c r="O27" s="88">
        <f t="shared" si="6"/>
        <v>0.8</v>
      </c>
    </row>
    <row r="28" spans="1:15" ht="17.25" customHeight="1">
      <c r="A28" s="2" t="s">
        <v>93</v>
      </c>
      <c r="B28" s="2" t="s">
        <v>284</v>
      </c>
      <c r="C28" s="45">
        <v>85747</v>
      </c>
      <c r="D28" s="45">
        <v>50000</v>
      </c>
      <c r="E28" s="45">
        <v>54726</v>
      </c>
      <c r="F28" s="45">
        <v>35000</v>
      </c>
      <c r="G28" s="45">
        <v>32000</v>
      </c>
      <c r="H28" s="45">
        <v>25000</v>
      </c>
      <c r="I28" s="45">
        <v>5000</v>
      </c>
      <c r="J28" s="83">
        <f t="shared" si="1"/>
        <v>0.5831107793858678</v>
      </c>
      <c r="K28" s="83">
        <f t="shared" si="2"/>
        <v>0.63822641025342</v>
      </c>
      <c r="L28" s="83">
        <f t="shared" si="3"/>
        <v>0.6395497569710924</v>
      </c>
      <c r="M28" s="88">
        <f t="shared" si="4"/>
        <v>0.9142857142857143</v>
      </c>
      <c r="N28" s="88">
        <f t="shared" si="5"/>
        <v>0.78125</v>
      </c>
      <c r="O28" s="88">
        <f t="shared" si="6"/>
        <v>0.2</v>
      </c>
    </row>
    <row r="29" spans="1:15" ht="12.75">
      <c r="A29" s="15" t="s">
        <v>95</v>
      </c>
      <c r="B29" s="15" t="s">
        <v>98</v>
      </c>
      <c r="C29" s="78">
        <f aca="true" t="shared" si="11" ref="C29:I29">C30+C31+C32+C33+C34+C35+C36</f>
        <v>782704</v>
      </c>
      <c r="D29" s="78">
        <f t="shared" si="11"/>
        <v>594804</v>
      </c>
      <c r="E29" s="78">
        <f t="shared" si="11"/>
        <v>151924</v>
      </c>
      <c r="F29" s="78">
        <f t="shared" si="11"/>
        <v>74832</v>
      </c>
      <c r="G29" s="78">
        <f t="shared" si="11"/>
        <v>74000</v>
      </c>
      <c r="H29" s="78">
        <f t="shared" si="11"/>
        <v>74500</v>
      </c>
      <c r="I29" s="78">
        <f t="shared" si="11"/>
        <v>76000</v>
      </c>
      <c r="J29" s="84">
        <f t="shared" si="1"/>
        <v>0.7599347901633312</v>
      </c>
      <c r="K29" s="84">
        <f t="shared" si="2"/>
        <v>0.19410147386496043</v>
      </c>
      <c r="L29" s="84">
        <f t="shared" si="3"/>
        <v>0.4925620705089387</v>
      </c>
      <c r="M29" s="89">
        <f t="shared" si="4"/>
        <v>0.988881761813128</v>
      </c>
      <c r="N29" s="89">
        <f t="shared" si="5"/>
        <v>1.0067567567567568</v>
      </c>
      <c r="O29" s="89">
        <f t="shared" si="6"/>
        <v>1.0201342281879195</v>
      </c>
    </row>
    <row r="30" spans="1:15" ht="28.5" customHeight="1">
      <c r="A30" s="2" t="s">
        <v>96</v>
      </c>
      <c r="B30" s="2" t="s">
        <v>97</v>
      </c>
      <c r="C30" s="45">
        <v>65507</v>
      </c>
      <c r="D30" s="45">
        <v>92421</v>
      </c>
      <c r="E30" s="45">
        <v>40466</v>
      </c>
      <c r="F30" s="45">
        <v>40000</v>
      </c>
      <c r="G30" s="45">
        <v>38000</v>
      </c>
      <c r="H30" s="45">
        <v>38000</v>
      </c>
      <c r="I30" s="45">
        <v>38000</v>
      </c>
      <c r="J30" s="83">
        <f t="shared" si="1"/>
        <v>1.4108568549925962</v>
      </c>
      <c r="K30" s="83">
        <f t="shared" si="2"/>
        <v>0.6177355091822248</v>
      </c>
      <c r="L30" s="83">
        <f t="shared" si="3"/>
        <v>0.9884841595413434</v>
      </c>
      <c r="M30" s="88">
        <f t="shared" si="4"/>
        <v>0.95</v>
      </c>
      <c r="N30" s="88">
        <f t="shared" si="5"/>
        <v>1</v>
      </c>
      <c r="O30" s="88">
        <f t="shared" si="6"/>
        <v>1</v>
      </c>
    </row>
    <row r="31" spans="1:15" ht="12.75">
      <c r="A31" s="2" t="s">
        <v>99</v>
      </c>
      <c r="B31" s="2" t="s">
        <v>100</v>
      </c>
      <c r="C31" s="45">
        <v>1875</v>
      </c>
      <c r="D31" s="45">
        <v>2385</v>
      </c>
      <c r="E31" s="45">
        <v>768</v>
      </c>
      <c r="F31" s="45">
        <v>1282</v>
      </c>
      <c r="G31" s="45">
        <v>1400</v>
      </c>
      <c r="H31" s="45">
        <v>1400</v>
      </c>
      <c r="I31" s="45">
        <v>1400</v>
      </c>
      <c r="J31" s="83">
        <f t="shared" si="1"/>
        <v>1.272</v>
      </c>
      <c r="K31" s="83">
        <f t="shared" si="2"/>
        <v>0.4096</v>
      </c>
      <c r="L31" s="83">
        <f t="shared" si="3"/>
        <v>1.6692708333333333</v>
      </c>
      <c r="M31" s="88">
        <f t="shared" si="4"/>
        <v>1.0920436817472698</v>
      </c>
      <c r="N31" s="88">
        <f t="shared" si="5"/>
        <v>1</v>
      </c>
      <c r="O31" s="88">
        <f t="shared" si="6"/>
        <v>1</v>
      </c>
    </row>
    <row r="32" spans="1:15" ht="38.25">
      <c r="A32" s="2" t="s">
        <v>101</v>
      </c>
      <c r="B32" s="2" t="s">
        <v>102</v>
      </c>
      <c r="C32" s="45">
        <v>662533</v>
      </c>
      <c r="D32" s="45">
        <v>453066</v>
      </c>
      <c r="E32" s="45">
        <v>71243</v>
      </c>
      <c r="F32" s="45">
        <v>0</v>
      </c>
      <c r="G32" s="45">
        <v>0</v>
      </c>
      <c r="H32" s="45">
        <v>0</v>
      </c>
      <c r="I32" s="45">
        <v>0</v>
      </c>
      <c r="J32" s="83">
        <f t="shared" si="1"/>
        <v>0.6838391446161927</v>
      </c>
      <c r="K32" s="83">
        <f t="shared" si="2"/>
        <v>0.10753124750012452</v>
      </c>
      <c r="L32" s="83">
        <f t="shared" si="3"/>
        <v>0</v>
      </c>
      <c r="M32" s="88">
        <v>0</v>
      </c>
      <c r="N32" s="88">
        <v>0</v>
      </c>
      <c r="O32" s="88">
        <v>0</v>
      </c>
    </row>
    <row r="33" spans="1:15" ht="38.25">
      <c r="A33" s="2" t="s">
        <v>103</v>
      </c>
      <c r="B33" s="2" t="s">
        <v>287</v>
      </c>
      <c r="C33" s="45">
        <v>28026</v>
      </c>
      <c r="D33" s="45">
        <v>25000</v>
      </c>
      <c r="E33" s="45">
        <v>19550</v>
      </c>
      <c r="F33" s="45">
        <v>20000</v>
      </c>
      <c r="G33" s="45">
        <v>21000</v>
      </c>
      <c r="H33" s="45">
        <v>21500</v>
      </c>
      <c r="I33" s="45">
        <v>22500</v>
      </c>
      <c r="J33" s="83">
        <f t="shared" si="1"/>
        <v>0.8920288303717976</v>
      </c>
      <c r="K33" s="83">
        <f t="shared" si="2"/>
        <v>0.6975665453507457</v>
      </c>
      <c r="L33" s="83">
        <f t="shared" si="3"/>
        <v>1.0230179028132993</v>
      </c>
      <c r="M33" s="88">
        <f t="shared" si="4"/>
        <v>1.05</v>
      </c>
      <c r="N33" s="88">
        <f t="shared" si="5"/>
        <v>1.0238095238095237</v>
      </c>
      <c r="O33" s="88">
        <f t="shared" si="6"/>
        <v>1.0465116279069768</v>
      </c>
    </row>
    <row r="34" spans="1:15" ht="17.25" customHeight="1">
      <c r="A34" s="2" t="s">
        <v>104</v>
      </c>
      <c r="B34" s="2" t="s">
        <v>105</v>
      </c>
      <c r="C34" s="45">
        <v>7944</v>
      </c>
      <c r="D34" s="45">
        <v>15000</v>
      </c>
      <c r="E34" s="45">
        <v>10437</v>
      </c>
      <c r="F34" s="45">
        <v>8000</v>
      </c>
      <c r="G34" s="45">
        <v>8000</v>
      </c>
      <c r="H34" s="45">
        <v>8000</v>
      </c>
      <c r="I34" s="45">
        <v>8500</v>
      </c>
      <c r="J34" s="83">
        <f t="shared" si="1"/>
        <v>1.8882175226586102</v>
      </c>
      <c r="K34" s="83">
        <f t="shared" si="2"/>
        <v>1.313821752265861</v>
      </c>
      <c r="L34" s="83">
        <f t="shared" si="3"/>
        <v>0.7665037846124365</v>
      </c>
      <c r="M34" s="88">
        <f t="shared" si="4"/>
        <v>1</v>
      </c>
      <c r="N34" s="88">
        <f t="shared" si="5"/>
        <v>1</v>
      </c>
      <c r="O34" s="88">
        <f t="shared" si="6"/>
        <v>1.0625</v>
      </c>
    </row>
    <row r="35" spans="1:15" ht="12.75">
      <c r="A35" s="2" t="s">
        <v>285</v>
      </c>
      <c r="B35" s="2" t="s">
        <v>286</v>
      </c>
      <c r="C35" s="45">
        <v>16819</v>
      </c>
      <c r="D35" s="45">
        <v>3600</v>
      </c>
      <c r="E35" s="45">
        <v>6128</v>
      </c>
      <c r="F35" s="45">
        <v>550</v>
      </c>
      <c r="G35" s="45">
        <v>600</v>
      </c>
      <c r="H35" s="45">
        <v>600</v>
      </c>
      <c r="I35" s="45">
        <v>600</v>
      </c>
      <c r="J35" s="83">
        <f t="shared" si="1"/>
        <v>0.21404364112016172</v>
      </c>
      <c r="K35" s="83">
        <f t="shared" si="2"/>
        <v>0.3643498424400975</v>
      </c>
      <c r="L35" s="83">
        <f t="shared" si="3"/>
        <v>0.08975195822454309</v>
      </c>
      <c r="M35" s="88">
        <f t="shared" si="4"/>
        <v>1.0909090909090908</v>
      </c>
      <c r="N35" s="88">
        <f t="shared" si="5"/>
        <v>1</v>
      </c>
      <c r="O35" s="88">
        <f t="shared" si="6"/>
        <v>1</v>
      </c>
    </row>
    <row r="36" spans="1:15" ht="12.75">
      <c r="A36" s="2" t="s">
        <v>330</v>
      </c>
      <c r="B36" s="2" t="s">
        <v>331</v>
      </c>
      <c r="C36" s="45">
        <v>0</v>
      </c>
      <c r="D36" s="45">
        <v>3332</v>
      </c>
      <c r="E36" s="45">
        <v>3332</v>
      </c>
      <c r="F36" s="45">
        <v>5000</v>
      </c>
      <c r="G36" s="45">
        <v>5000</v>
      </c>
      <c r="H36" s="45">
        <v>5000</v>
      </c>
      <c r="I36" s="45">
        <v>5000</v>
      </c>
      <c r="J36" s="83">
        <v>0</v>
      </c>
      <c r="K36" s="83">
        <v>0</v>
      </c>
      <c r="L36" s="83">
        <v>0</v>
      </c>
      <c r="M36" s="83">
        <v>0</v>
      </c>
      <c r="N36" s="83">
        <f>H36/F36</f>
        <v>1</v>
      </c>
      <c r="O36" s="83">
        <f>I36/G36</f>
        <v>1</v>
      </c>
    </row>
    <row r="37" spans="1:15" ht="25.5">
      <c r="A37" s="14" t="s">
        <v>73</v>
      </c>
      <c r="B37" s="14" t="s">
        <v>125</v>
      </c>
      <c r="C37" s="79">
        <f aca="true" t="shared" si="12" ref="C37:I37">C38+C39+C40+C41</f>
        <v>6469708</v>
      </c>
      <c r="D37" s="79">
        <f t="shared" si="12"/>
        <v>6416970</v>
      </c>
      <c r="E37" s="79">
        <f t="shared" si="12"/>
        <v>6354065</v>
      </c>
      <c r="F37" s="79">
        <f t="shared" si="12"/>
        <v>6432032</v>
      </c>
      <c r="G37" s="79">
        <f t="shared" si="12"/>
        <v>6419175</v>
      </c>
      <c r="H37" s="79">
        <f t="shared" si="12"/>
        <v>6419175</v>
      </c>
      <c r="I37" s="79">
        <f t="shared" si="12"/>
        <v>6428000</v>
      </c>
      <c r="J37" s="85">
        <f aca="true" t="shared" si="13" ref="J37:J44">D37/C37</f>
        <v>0.991848472914079</v>
      </c>
      <c r="K37" s="85">
        <f aca="true" t="shared" si="14" ref="K37:K44">E37/C37</f>
        <v>0.9821254684137213</v>
      </c>
      <c r="L37" s="85">
        <f aca="true" t="shared" si="15" ref="L37:O40">F37/E37</f>
        <v>1.0122704127200461</v>
      </c>
      <c r="M37" s="90">
        <f t="shared" si="15"/>
        <v>0.9980010982532426</v>
      </c>
      <c r="N37" s="90">
        <f t="shared" si="15"/>
        <v>1</v>
      </c>
      <c r="O37" s="90">
        <f t="shared" si="15"/>
        <v>1.0013747872584873</v>
      </c>
    </row>
    <row r="38" spans="1:15" ht="12.75">
      <c r="A38" s="2" t="s">
        <v>75</v>
      </c>
      <c r="B38" s="2" t="s">
        <v>107</v>
      </c>
      <c r="C38" s="45">
        <v>4246346</v>
      </c>
      <c r="D38" s="45">
        <v>4319463</v>
      </c>
      <c r="E38" s="45">
        <v>4319463</v>
      </c>
      <c r="F38" s="45">
        <v>4074536</v>
      </c>
      <c r="G38" s="45">
        <v>4061679</v>
      </c>
      <c r="H38" s="45">
        <v>4061679</v>
      </c>
      <c r="I38" s="45">
        <v>4065000</v>
      </c>
      <c r="J38" s="83">
        <f t="shared" si="13"/>
        <v>1.0172188041200598</v>
      </c>
      <c r="K38" s="83">
        <f t="shared" si="14"/>
        <v>1.0172188041200598</v>
      </c>
      <c r="L38" s="83">
        <f t="shared" si="15"/>
        <v>0.9432968866731813</v>
      </c>
      <c r="M38" s="88">
        <f t="shared" si="15"/>
        <v>0.9968445486798988</v>
      </c>
      <c r="N38" s="88">
        <f t="shared" si="15"/>
        <v>1</v>
      </c>
      <c r="O38" s="88">
        <f t="shared" si="15"/>
        <v>1.0008176421622683</v>
      </c>
    </row>
    <row r="39" spans="1:15" ht="17.25" customHeight="1">
      <c r="A39" s="2" t="s">
        <v>106</v>
      </c>
      <c r="B39" s="2" t="s">
        <v>108</v>
      </c>
      <c r="C39" s="45">
        <v>2007357</v>
      </c>
      <c r="D39" s="45">
        <v>1972892</v>
      </c>
      <c r="E39" s="45">
        <v>1972892</v>
      </c>
      <c r="F39" s="45">
        <v>2357496</v>
      </c>
      <c r="G39" s="45">
        <v>2357496</v>
      </c>
      <c r="H39" s="45">
        <v>2357496</v>
      </c>
      <c r="I39" s="45">
        <v>2363000</v>
      </c>
      <c r="J39" s="83">
        <f t="shared" si="13"/>
        <v>0.9828306574266561</v>
      </c>
      <c r="K39" s="83">
        <f t="shared" si="14"/>
        <v>0.9828306574266561</v>
      </c>
      <c r="L39" s="83">
        <f t="shared" si="15"/>
        <v>1.194944274699274</v>
      </c>
      <c r="M39" s="88">
        <f t="shared" si="15"/>
        <v>1</v>
      </c>
      <c r="N39" s="88">
        <f t="shared" si="15"/>
        <v>1</v>
      </c>
      <c r="O39" s="88">
        <f t="shared" si="15"/>
        <v>1.002334680525439</v>
      </c>
    </row>
    <row r="40" spans="1:15" ht="25.5">
      <c r="A40" s="2" t="s">
        <v>109</v>
      </c>
      <c r="B40" s="2" t="s">
        <v>110</v>
      </c>
      <c r="C40" s="45">
        <v>216005</v>
      </c>
      <c r="D40" s="45">
        <v>61710</v>
      </c>
      <c r="E40" s="45">
        <v>61710</v>
      </c>
      <c r="F40" s="45">
        <v>0</v>
      </c>
      <c r="G40" s="45">
        <v>0</v>
      </c>
      <c r="H40" s="45">
        <v>0</v>
      </c>
      <c r="I40" s="45">
        <v>0</v>
      </c>
      <c r="J40" s="83">
        <f t="shared" si="13"/>
        <v>0.28568783130020137</v>
      </c>
      <c r="K40" s="83">
        <f t="shared" si="14"/>
        <v>0.28568783130020137</v>
      </c>
      <c r="L40" s="83">
        <f t="shared" si="15"/>
        <v>0</v>
      </c>
      <c r="M40" s="88">
        <v>0</v>
      </c>
      <c r="N40" s="88">
        <v>0</v>
      </c>
      <c r="O40" s="88">
        <v>0</v>
      </c>
    </row>
    <row r="41" spans="1:15" ht="25.5">
      <c r="A41" s="2" t="s">
        <v>234</v>
      </c>
      <c r="B41" s="2" t="s">
        <v>288</v>
      </c>
      <c r="C41" s="45">
        <v>0</v>
      </c>
      <c r="D41" s="45">
        <v>62905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83">
        <v>0</v>
      </c>
      <c r="K41" s="83">
        <v>0</v>
      </c>
      <c r="L41" s="83">
        <v>0</v>
      </c>
      <c r="M41" s="88">
        <v>0</v>
      </c>
      <c r="N41" s="88">
        <v>0</v>
      </c>
      <c r="O41" s="88">
        <v>0</v>
      </c>
    </row>
    <row r="42" spans="1:15" ht="39.75" customHeight="1">
      <c r="A42" s="14" t="s">
        <v>111</v>
      </c>
      <c r="B42" s="14" t="s">
        <v>126</v>
      </c>
      <c r="C42" s="79">
        <f aca="true" t="shared" si="16" ref="C42:I42">C43+C44</f>
        <v>588924</v>
      </c>
      <c r="D42" s="79">
        <f t="shared" si="16"/>
        <v>822617</v>
      </c>
      <c r="E42" s="79">
        <f t="shared" si="16"/>
        <v>752143</v>
      </c>
      <c r="F42" s="79">
        <f t="shared" si="16"/>
        <v>805985</v>
      </c>
      <c r="G42" s="79">
        <f t="shared" si="16"/>
        <v>800690</v>
      </c>
      <c r="H42" s="79">
        <f t="shared" si="16"/>
        <v>800690</v>
      </c>
      <c r="I42" s="79">
        <f t="shared" si="16"/>
        <v>802690</v>
      </c>
      <c r="J42" s="85">
        <f t="shared" si="13"/>
        <v>1.3968135107416237</v>
      </c>
      <c r="K42" s="85">
        <f t="shared" si="14"/>
        <v>1.2771478153378024</v>
      </c>
      <c r="L42" s="85">
        <f aca="true" t="shared" si="17" ref="L42:O44">F42/E42</f>
        <v>1.071584791721787</v>
      </c>
      <c r="M42" s="90">
        <f t="shared" si="17"/>
        <v>0.9934303988287623</v>
      </c>
      <c r="N42" s="90">
        <f t="shared" si="17"/>
        <v>1</v>
      </c>
      <c r="O42" s="90">
        <f t="shared" si="17"/>
        <v>1.002497845608163</v>
      </c>
    </row>
    <row r="43" spans="1:15" ht="28.5" customHeight="1">
      <c r="A43" s="2" t="s">
        <v>112</v>
      </c>
      <c r="B43" s="2" t="s">
        <v>113</v>
      </c>
      <c r="C43" s="45">
        <v>572764</v>
      </c>
      <c r="D43" s="45">
        <v>762617</v>
      </c>
      <c r="E43" s="45">
        <v>744570</v>
      </c>
      <c r="F43" s="45">
        <v>795985</v>
      </c>
      <c r="G43" s="45">
        <v>790690</v>
      </c>
      <c r="H43" s="45">
        <v>790690</v>
      </c>
      <c r="I43" s="45">
        <v>790690</v>
      </c>
      <c r="J43" s="83">
        <f t="shared" si="13"/>
        <v>1.3314681090291987</v>
      </c>
      <c r="K43" s="83">
        <f t="shared" si="14"/>
        <v>1.2999594946609774</v>
      </c>
      <c r="L43" s="83">
        <f t="shared" si="17"/>
        <v>1.0690532790738279</v>
      </c>
      <c r="M43" s="88">
        <f t="shared" si="17"/>
        <v>0.9933478645954383</v>
      </c>
      <c r="N43" s="88">
        <f t="shared" si="17"/>
        <v>1</v>
      </c>
      <c r="O43" s="88">
        <f t="shared" si="17"/>
        <v>1</v>
      </c>
    </row>
    <row r="44" spans="1:15" ht="29.25" customHeight="1">
      <c r="A44" s="2" t="s">
        <v>114</v>
      </c>
      <c r="B44" s="2" t="s">
        <v>115</v>
      </c>
      <c r="C44" s="45">
        <v>16160</v>
      </c>
      <c r="D44" s="45">
        <v>60000</v>
      </c>
      <c r="E44" s="45">
        <v>7573</v>
      </c>
      <c r="F44" s="45">
        <v>10000</v>
      </c>
      <c r="G44" s="45">
        <v>10000</v>
      </c>
      <c r="H44" s="45">
        <v>10000</v>
      </c>
      <c r="I44" s="45">
        <v>12000</v>
      </c>
      <c r="J44" s="83">
        <f t="shared" si="13"/>
        <v>3.712871287128713</v>
      </c>
      <c r="K44" s="83">
        <f t="shared" si="14"/>
        <v>0.4686262376237624</v>
      </c>
      <c r="L44" s="83">
        <f t="shared" si="17"/>
        <v>1.320480654958405</v>
      </c>
      <c r="M44" s="88">
        <f t="shared" si="17"/>
        <v>1</v>
      </c>
      <c r="N44" s="88">
        <f t="shared" si="17"/>
        <v>1</v>
      </c>
      <c r="O44" s="88">
        <f t="shared" si="17"/>
        <v>1.2</v>
      </c>
    </row>
    <row r="45" spans="1:15" ht="12.75">
      <c r="A45" s="2"/>
      <c r="B45" s="2"/>
      <c r="C45" s="45"/>
      <c r="D45" s="45"/>
      <c r="E45" s="45"/>
      <c r="F45" s="45"/>
      <c r="G45" s="45"/>
      <c r="H45" s="45"/>
      <c r="I45" s="45"/>
      <c r="J45" s="83"/>
      <c r="K45" s="83"/>
      <c r="L45" s="88"/>
      <c r="M45" s="88"/>
      <c r="N45" s="88"/>
      <c r="O45" s="88"/>
    </row>
    <row r="46" spans="1:15" ht="28.5" customHeight="1">
      <c r="A46" s="14" t="s">
        <v>116</v>
      </c>
      <c r="B46" s="14" t="s">
        <v>127</v>
      </c>
      <c r="C46" s="79">
        <f aca="true" t="shared" si="18" ref="C46:I46">C47+C48+C49+C50</f>
        <v>2854365</v>
      </c>
      <c r="D46" s="79">
        <f t="shared" si="18"/>
        <v>1790943</v>
      </c>
      <c r="E46" s="79">
        <f t="shared" si="18"/>
        <v>1776248</v>
      </c>
      <c r="F46" s="79">
        <f t="shared" si="18"/>
        <v>2263193</v>
      </c>
      <c r="G46" s="79">
        <f t="shared" si="18"/>
        <v>2269293</v>
      </c>
      <c r="H46" s="79">
        <f t="shared" si="18"/>
        <v>2270000</v>
      </c>
      <c r="I46" s="79">
        <f t="shared" si="18"/>
        <v>2275000</v>
      </c>
      <c r="J46" s="85">
        <f>D46/C46</f>
        <v>0.6274400786164348</v>
      </c>
      <c r="K46" s="85">
        <f>E46/C46</f>
        <v>0.6222918232251307</v>
      </c>
      <c r="L46" s="85">
        <f aca="true" t="shared" si="19" ref="L46:O50">F46/E46</f>
        <v>1.2741424620886272</v>
      </c>
      <c r="M46" s="90">
        <f t="shared" si="19"/>
        <v>1.0026953070286095</v>
      </c>
      <c r="N46" s="90">
        <f t="shared" si="19"/>
        <v>1.00031155077815</v>
      </c>
      <c r="O46" s="90">
        <f t="shared" si="19"/>
        <v>1.002202643171806</v>
      </c>
    </row>
    <row r="47" spans="1:15" ht="12.75">
      <c r="A47" s="2" t="s">
        <v>117</v>
      </c>
      <c r="B47" s="2" t="s">
        <v>118</v>
      </c>
      <c r="C47" s="45">
        <v>1042533</v>
      </c>
      <c r="D47" s="45">
        <v>1522759</v>
      </c>
      <c r="E47" s="45">
        <v>1522601</v>
      </c>
      <c r="F47" s="45">
        <v>1969293</v>
      </c>
      <c r="G47" s="45">
        <v>1969293</v>
      </c>
      <c r="H47" s="45">
        <v>1970000</v>
      </c>
      <c r="I47" s="45">
        <v>1975000</v>
      </c>
      <c r="J47" s="83">
        <f>D47/C47</f>
        <v>1.4606338600312891</v>
      </c>
      <c r="K47" s="83">
        <f>E47/C47</f>
        <v>1.460482306075683</v>
      </c>
      <c r="L47" s="83">
        <f t="shared" si="19"/>
        <v>1.2933742983224101</v>
      </c>
      <c r="M47" s="88">
        <f t="shared" si="19"/>
        <v>1</v>
      </c>
      <c r="N47" s="88">
        <f t="shared" si="19"/>
        <v>1.0003590120921568</v>
      </c>
      <c r="O47" s="88">
        <f t="shared" si="19"/>
        <v>1.00253807106599</v>
      </c>
    </row>
    <row r="48" spans="1:15" ht="12.75">
      <c r="A48" s="2" t="s">
        <v>119</v>
      </c>
      <c r="B48" s="2" t="s">
        <v>120</v>
      </c>
      <c r="C48" s="45">
        <v>125105</v>
      </c>
      <c r="D48" s="45">
        <v>225839</v>
      </c>
      <c r="E48" s="45">
        <v>225839</v>
      </c>
      <c r="F48" s="45">
        <v>293900</v>
      </c>
      <c r="G48" s="45">
        <v>300000</v>
      </c>
      <c r="H48" s="45">
        <v>300000</v>
      </c>
      <c r="I48" s="45">
        <v>300000</v>
      </c>
      <c r="J48" s="83">
        <f>D48/C48</f>
        <v>1.8051956356660406</v>
      </c>
      <c r="K48" s="83">
        <f>E48/C48</f>
        <v>1.8051956356660406</v>
      </c>
      <c r="L48" s="83">
        <f t="shared" si="19"/>
        <v>1.3013695597306045</v>
      </c>
      <c r="M48" s="88">
        <f t="shared" si="19"/>
        <v>1.0207553589656346</v>
      </c>
      <c r="N48" s="88">
        <f t="shared" si="19"/>
        <v>1</v>
      </c>
      <c r="O48" s="88">
        <f t="shared" si="19"/>
        <v>1</v>
      </c>
    </row>
    <row r="49" spans="1:15" ht="51">
      <c r="A49" s="2" t="s">
        <v>121</v>
      </c>
      <c r="B49" s="2" t="s">
        <v>123</v>
      </c>
      <c r="C49" s="45">
        <v>10000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83">
        <f>D49/C49</f>
        <v>0</v>
      </c>
      <c r="K49" s="83">
        <f>E49/C49</f>
        <v>0</v>
      </c>
      <c r="L49" s="83">
        <v>0</v>
      </c>
      <c r="M49" s="88">
        <v>0</v>
      </c>
      <c r="N49" s="88">
        <v>0</v>
      </c>
      <c r="O49" s="88">
        <v>0</v>
      </c>
    </row>
    <row r="50" spans="1:15" ht="12.75">
      <c r="A50" s="2" t="s">
        <v>122</v>
      </c>
      <c r="B50" s="2" t="s">
        <v>124</v>
      </c>
      <c r="C50" s="45">
        <v>1676727</v>
      </c>
      <c r="D50" s="45">
        <v>42345</v>
      </c>
      <c r="E50" s="45">
        <v>27808</v>
      </c>
      <c r="F50" s="45">
        <v>0</v>
      </c>
      <c r="G50" s="45">
        <v>0</v>
      </c>
      <c r="H50" s="45">
        <v>0</v>
      </c>
      <c r="I50" s="45">
        <v>0</v>
      </c>
      <c r="J50" s="83">
        <f>D50/C50</f>
        <v>0.025254558434378405</v>
      </c>
      <c r="K50" s="83">
        <f>E50/C50</f>
        <v>0.016584691485256695</v>
      </c>
      <c r="L50" s="83">
        <f t="shared" si="19"/>
        <v>0</v>
      </c>
      <c r="M50" s="88">
        <v>0</v>
      </c>
      <c r="N50" s="88">
        <v>0</v>
      </c>
      <c r="O50" s="88">
        <v>0</v>
      </c>
    </row>
  </sheetData>
  <printOptions/>
  <pageMargins left="0.75" right="0.75" top="1" bottom="1" header="0.5" footer="0.5"/>
  <pageSetup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2"/>
  <sheetViews>
    <sheetView workbookViewId="0" topLeftCell="C1">
      <selection activeCell="I113" sqref="I113"/>
    </sheetView>
  </sheetViews>
  <sheetFormatPr defaultColWidth="9.00390625" defaultRowHeight="12.75"/>
  <cols>
    <col min="1" max="1" width="5.75390625" style="0" customWidth="1"/>
    <col min="2" max="2" width="32.625" style="0" customWidth="1"/>
    <col min="3" max="3" width="9.75390625" style="0" customWidth="1"/>
    <col min="4" max="4" width="9.25390625" style="0" bestFit="1" customWidth="1"/>
    <col min="5" max="5" width="10.00390625" style="0" customWidth="1"/>
    <col min="6" max="6" width="9.75390625" style="0" customWidth="1"/>
    <col min="7" max="9" width="9.25390625" style="0" bestFit="1" customWidth="1"/>
    <col min="10" max="15" width="9.875" style="0" bestFit="1" customWidth="1"/>
  </cols>
  <sheetData>
    <row r="1" ht="12.75">
      <c r="N1" t="s">
        <v>348</v>
      </c>
    </row>
    <row r="2" ht="12.75">
      <c r="A2" s="29" t="s">
        <v>129</v>
      </c>
    </row>
    <row r="3" ht="12.75">
      <c r="A3" s="29" t="s">
        <v>130</v>
      </c>
    </row>
    <row r="5" spans="1:15" ht="25.5">
      <c r="A5" s="10" t="s">
        <v>131</v>
      </c>
      <c r="B5" s="31" t="s">
        <v>2</v>
      </c>
      <c r="C5" s="10" t="s">
        <v>40</v>
      </c>
      <c r="D5" s="10" t="s">
        <v>39</v>
      </c>
      <c r="E5" s="10" t="s">
        <v>440</v>
      </c>
      <c r="F5" s="10" t="s">
        <v>38</v>
      </c>
      <c r="G5" s="10" t="s">
        <v>41</v>
      </c>
      <c r="H5" s="10" t="s">
        <v>42</v>
      </c>
      <c r="I5" s="10" t="s">
        <v>43</v>
      </c>
      <c r="J5" s="10" t="s">
        <v>44</v>
      </c>
      <c r="K5" s="10" t="s">
        <v>45</v>
      </c>
      <c r="L5" s="10" t="s">
        <v>48</v>
      </c>
      <c r="M5" s="13" t="s">
        <v>46</v>
      </c>
      <c r="N5" s="13" t="s">
        <v>47</v>
      </c>
      <c r="O5" s="13" t="s">
        <v>50</v>
      </c>
    </row>
    <row r="6" spans="1:15" ht="12.75">
      <c r="A6" s="11">
        <v>1</v>
      </c>
      <c r="B6" s="32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2">
        <v>13</v>
      </c>
      <c r="N6" s="12">
        <v>14</v>
      </c>
      <c r="O6" s="12">
        <v>15</v>
      </c>
    </row>
    <row r="7" spans="1:15" ht="12.75">
      <c r="A7" s="20" t="s">
        <v>132</v>
      </c>
      <c r="B7" s="20" t="s">
        <v>133</v>
      </c>
      <c r="C7" s="92">
        <f aca="true" t="shared" si="0" ref="C7:I7">C9+C10</f>
        <v>14090</v>
      </c>
      <c r="D7" s="92">
        <f t="shared" si="0"/>
        <v>1400</v>
      </c>
      <c r="E7" s="92">
        <f t="shared" si="0"/>
        <v>1333</v>
      </c>
      <c r="F7" s="92">
        <f t="shared" si="0"/>
        <v>2000</v>
      </c>
      <c r="G7" s="92">
        <f t="shared" si="0"/>
        <v>1340</v>
      </c>
      <c r="H7" s="92">
        <f t="shared" si="0"/>
        <v>1360</v>
      </c>
      <c r="I7" s="92">
        <f t="shared" si="0"/>
        <v>1400</v>
      </c>
      <c r="J7" s="80">
        <f>D7/C7</f>
        <v>0.099361249112846</v>
      </c>
      <c r="K7" s="80">
        <f>E7/C7</f>
        <v>0.09460610361958836</v>
      </c>
      <c r="L7" s="80">
        <f>F7/E7</f>
        <v>1.5003750937734435</v>
      </c>
      <c r="M7" s="72">
        <f>G7/F7</f>
        <v>0.67</v>
      </c>
      <c r="N7" s="72">
        <f>H7/G7</f>
        <v>1.0149253731343284</v>
      </c>
      <c r="O7" s="72">
        <f>I7/H7</f>
        <v>1.0294117647058822</v>
      </c>
    </row>
    <row r="8" spans="1:15" ht="12.75">
      <c r="A8" s="264"/>
      <c r="B8" s="19" t="s">
        <v>138</v>
      </c>
      <c r="C8" s="93"/>
      <c r="D8" s="93"/>
      <c r="E8" s="93"/>
      <c r="F8" s="93"/>
      <c r="G8" s="93"/>
      <c r="H8" s="93"/>
      <c r="I8" s="93"/>
      <c r="J8" s="88"/>
      <c r="K8" s="88"/>
      <c r="L8" s="88"/>
      <c r="M8" s="88"/>
      <c r="N8" s="88"/>
      <c r="O8" s="88"/>
    </row>
    <row r="9" spans="1:15" ht="38.25">
      <c r="A9" s="265"/>
      <c r="B9" s="21" t="s">
        <v>393</v>
      </c>
      <c r="C9" s="93">
        <v>13000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83">
        <f>D9/C9</f>
        <v>0</v>
      </c>
      <c r="K9" s="83">
        <f>E9/C9</f>
        <v>0</v>
      </c>
      <c r="L9" s="83">
        <v>0</v>
      </c>
      <c r="M9" s="88">
        <v>0</v>
      </c>
      <c r="N9" s="88">
        <v>0</v>
      </c>
      <c r="O9" s="88">
        <v>0</v>
      </c>
    </row>
    <row r="10" spans="1:15" ht="12.75">
      <c r="A10" s="266"/>
      <c r="B10" s="21" t="s">
        <v>295</v>
      </c>
      <c r="C10" s="93">
        <v>1090</v>
      </c>
      <c r="D10" s="93">
        <v>1400</v>
      </c>
      <c r="E10" s="93">
        <v>1333</v>
      </c>
      <c r="F10" s="93">
        <v>2000</v>
      </c>
      <c r="G10" s="93">
        <f>'Pl. Dochodów'!G10*0.02</f>
        <v>1340</v>
      </c>
      <c r="H10" s="93">
        <f>'Pl. Dochodów'!H10*0.02</f>
        <v>1360</v>
      </c>
      <c r="I10" s="93">
        <f>'Pl. Dochodów'!I10*0.02</f>
        <v>1400</v>
      </c>
      <c r="J10" s="83">
        <f>D10/C10</f>
        <v>1.2844036697247707</v>
      </c>
      <c r="K10" s="83">
        <f>E10/C10</f>
        <v>1.2229357798165137</v>
      </c>
      <c r="L10" s="83">
        <f>F10/E10</f>
        <v>1.5003750937734435</v>
      </c>
      <c r="M10" s="88">
        <f>G10/F10</f>
        <v>0.67</v>
      </c>
      <c r="N10" s="88">
        <f>H10/G10</f>
        <v>1.0149253731343284</v>
      </c>
      <c r="O10" s="88">
        <f>I10/H10</f>
        <v>1.0294117647058822</v>
      </c>
    </row>
    <row r="11" spans="1:15" ht="12.75">
      <c r="A11" s="91" t="s">
        <v>289</v>
      </c>
      <c r="B11" s="22" t="s">
        <v>290</v>
      </c>
      <c r="C11" s="92">
        <f aca="true" t="shared" si="1" ref="C11:I11">C13</f>
        <v>1998</v>
      </c>
      <c r="D11" s="92">
        <f t="shared" si="1"/>
        <v>1003</v>
      </c>
      <c r="E11" s="92">
        <f t="shared" si="1"/>
        <v>1003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80">
        <f>D11/C11</f>
        <v>0.502002002002002</v>
      </c>
      <c r="K11" s="80">
        <f>E11/C11</f>
        <v>0.502002002002002</v>
      </c>
      <c r="L11" s="80">
        <v>0</v>
      </c>
      <c r="M11" s="80">
        <v>0</v>
      </c>
      <c r="N11" s="80">
        <v>0</v>
      </c>
      <c r="O11" s="80">
        <v>0</v>
      </c>
    </row>
    <row r="12" spans="1:15" ht="12.75">
      <c r="A12" s="62"/>
      <c r="B12" s="21" t="s">
        <v>291</v>
      </c>
      <c r="C12" s="93"/>
      <c r="D12" s="93"/>
      <c r="E12" s="93"/>
      <c r="F12" s="93"/>
      <c r="G12" s="93"/>
      <c r="H12" s="93"/>
      <c r="I12" s="93"/>
      <c r="J12" s="88"/>
      <c r="K12" s="88"/>
      <c r="L12" s="88"/>
      <c r="M12" s="88"/>
      <c r="N12" s="88"/>
      <c r="O12" s="88"/>
    </row>
    <row r="13" spans="1:15" ht="12.75">
      <c r="A13" s="62"/>
      <c r="B13" s="21" t="s">
        <v>394</v>
      </c>
      <c r="C13" s="93">
        <v>1998</v>
      </c>
      <c r="D13" s="93">
        <v>1003</v>
      </c>
      <c r="E13" s="93">
        <v>1003</v>
      </c>
      <c r="F13" s="93">
        <v>0</v>
      </c>
      <c r="G13" s="93">
        <v>0</v>
      </c>
      <c r="H13" s="93">
        <v>0</v>
      </c>
      <c r="I13" s="93">
        <v>0</v>
      </c>
      <c r="J13" s="83">
        <f>D13/C13</f>
        <v>0.502002002002002</v>
      </c>
      <c r="K13" s="83">
        <f>E13/D13</f>
        <v>1</v>
      </c>
      <c r="L13" s="83">
        <f>F13/E13</f>
        <v>0</v>
      </c>
      <c r="M13" s="83">
        <v>0</v>
      </c>
      <c r="N13" s="83">
        <v>0</v>
      </c>
      <c r="O13" s="83">
        <v>0</v>
      </c>
    </row>
    <row r="14" spans="1:15" ht="12.75">
      <c r="A14" s="91" t="s">
        <v>292</v>
      </c>
      <c r="B14" s="22"/>
      <c r="C14" s="92">
        <f aca="true" t="shared" si="2" ref="C14:I14">C16</f>
        <v>49000</v>
      </c>
      <c r="D14" s="92">
        <f t="shared" si="2"/>
        <v>0</v>
      </c>
      <c r="E14" s="92">
        <f t="shared" si="2"/>
        <v>0</v>
      </c>
      <c r="F14" s="92">
        <f t="shared" si="2"/>
        <v>0</v>
      </c>
      <c r="G14" s="92">
        <f t="shared" si="2"/>
        <v>0</v>
      </c>
      <c r="H14" s="92">
        <f t="shared" si="2"/>
        <v>0</v>
      </c>
      <c r="I14" s="92">
        <f t="shared" si="2"/>
        <v>0</v>
      </c>
      <c r="J14" s="80">
        <f>D14/C14</f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</row>
    <row r="15" spans="1:15" ht="12.75">
      <c r="A15" s="62"/>
      <c r="B15" s="21" t="s">
        <v>138</v>
      </c>
      <c r="C15" s="93"/>
      <c r="D15" s="93"/>
      <c r="E15" s="93"/>
      <c r="F15" s="93"/>
      <c r="G15" s="93"/>
      <c r="H15" s="93"/>
      <c r="I15" s="93"/>
      <c r="J15" s="88"/>
      <c r="K15" s="88"/>
      <c r="L15" s="88"/>
      <c r="M15" s="88"/>
      <c r="N15" s="88"/>
      <c r="O15" s="88"/>
    </row>
    <row r="16" spans="1:15" ht="25.5">
      <c r="A16" s="62"/>
      <c r="B16" s="21" t="s">
        <v>402</v>
      </c>
      <c r="C16" s="93">
        <v>49000</v>
      </c>
      <c r="D16" s="93"/>
      <c r="E16" s="93"/>
      <c r="F16" s="93">
        <v>0</v>
      </c>
      <c r="G16" s="93">
        <v>0</v>
      </c>
      <c r="H16" s="93">
        <v>0</v>
      </c>
      <c r="I16" s="93">
        <v>0</v>
      </c>
      <c r="J16" s="83">
        <f>D16/C16</f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</row>
    <row r="17" spans="1:15" ht="12.75">
      <c r="A17" s="20" t="s">
        <v>136</v>
      </c>
      <c r="B17" s="20" t="s">
        <v>137</v>
      </c>
      <c r="C17" s="92">
        <f aca="true" t="shared" si="3" ref="C17:I17">C19</f>
        <v>116911</v>
      </c>
      <c r="D17" s="92">
        <f t="shared" si="3"/>
        <v>47864</v>
      </c>
      <c r="E17" s="92">
        <f t="shared" si="3"/>
        <v>46321</v>
      </c>
      <c r="F17" s="92">
        <f t="shared" si="3"/>
        <v>115000</v>
      </c>
      <c r="G17" s="92">
        <f t="shared" si="3"/>
        <v>140000</v>
      </c>
      <c r="H17" s="92">
        <f t="shared" si="3"/>
        <v>145000</v>
      </c>
      <c r="I17" s="92">
        <f t="shared" si="3"/>
        <v>150000</v>
      </c>
      <c r="J17" s="80">
        <f>D17/C17</f>
        <v>0.4094054451676917</v>
      </c>
      <c r="K17" s="80">
        <f>E17/C17</f>
        <v>0.39620737141928475</v>
      </c>
      <c r="L17" s="80">
        <f>F17/E17</f>
        <v>2.4826752444895406</v>
      </c>
      <c r="M17" s="72">
        <f>G17/F17</f>
        <v>1.2173913043478262</v>
      </c>
      <c r="N17" s="72">
        <f>H17/G17</f>
        <v>1.0357142857142858</v>
      </c>
      <c r="O17" s="72">
        <f>I17/H17</f>
        <v>1.0344827586206897</v>
      </c>
    </row>
    <row r="18" spans="1:15" ht="12.75">
      <c r="A18" s="259"/>
      <c r="B18" s="21" t="s">
        <v>138</v>
      </c>
      <c r="C18" s="93"/>
      <c r="D18" s="93"/>
      <c r="E18" s="93"/>
      <c r="F18" s="93"/>
      <c r="G18" s="93"/>
      <c r="H18" s="93"/>
      <c r="I18" s="93"/>
      <c r="J18" s="88"/>
      <c r="K18" s="88"/>
      <c r="L18" s="88"/>
      <c r="M18" s="88"/>
      <c r="N18" s="88"/>
      <c r="O18" s="88"/>
    </row>
    <row r="19" spans="1:15" ht="12.75">
      <c r="A19" s="260"/>
      <c r="B19" s="21" t="s">
        <v>296</v>
      </c>
      <c r="C19" s="93">
        <v>116911</v>
      </c>
      <c r="D19" s="93">
        <v>47864</v>
      </c>
      <c r="E19" s="93">
        <v>46321</v>
      </c>
      <c r="F19" s="93">
        <v>115000</v>
      </c>
      <c r="G19" s="93">
        <v>140000</v>
      </c>
      <c r="H19" s="93">
        <v>145000</v>
      </c>
      <c r="I19" s="93">
        <v>150000</v>
      </c>
      <c r="J19" s="83">
        <f>D19/C19</f>
        <v>0.4094054451676917</v>
      </c>
      <c r="K19" s="83">
        <f>E19/C19</f>
        <v>0.39620737141928475</v>
      </c>
      <c r="L19" s="83">
        <f aca="true" t="shared" si="4" ref="L19:O20">F19/E19</f>
        <v>2.4826752444895406</v>
      </c>
      <c r="M19" s="88">
        <f t="shared" si="4"/>
        <v>1.2173913043478262</v>
      </c>
      <c r="N19" s="88">
        <f t="shared" si="4"/>
        <v>1.0357142857142858</v>
      </c>
      <c r="O19" s="88">
        <f t="shared" si="4"/>
        <v>1.0344827586206897</v>
      </c>
    </row>
    <row r="20" spans="1:15" ht="12.75">
      <c r="A20" s="22" t="s">
        <v>139</v>
      </c>
      <c r="B20" s="22" t="s">
        <v>140</v>
      </c>
      <c r="C20" s="92">
        <f aca="true" t="shared" si="5" ref="C20:I20">C22+C23</f>
        <v>37357</v>
      </c>
      <c r="D20" s="92">
        <f t="shared" si="5"/>
        <v>153640</v>
      </c>
      <c r="E20" s="92">
        <f t="shared" si="5"/>
        <v>153709</v>
      </c>
      <c r="F20" s="92">
        <f t="shared" si="5"/>
        <v>210000</v>
      </c>
      <c r="G20" s="92">
        <f t="shared" si="5"/>
        <v>50000</v>
      </c>
      <c r="H20" s="92">
        <f t="shared" si="5"/>
        <v>52000</v>
      </c>
      <c r="I20" s="92">
        <f t="shared" si="5"/>
        <v>53000</v>
      </c>
      <c r="J20" s="121">
        <v>0</v>
      </c>
      <c r="K20" s="80">
        <f>E20/C20</f>
        <v>4.114596996546832</v>
      </c>
      <c r="L20" s="80">
        <f t="shared" si="4"/>
        <v>1.3662179833321406</v>
      </c>
      <c r="M20" s="72">
        <f t="shared" si="4"/>
        <v>0.23809523809523808</v>
      </c>
      <c r="N20" s="72">
        <f t="shared" si="4"/>
        <v>1.04</v>
      </c>
      <c r="O20" s="72">
        <f t="shared" si="4"/>
        <v>1.0192307692307692</v>
      </c>
    </row>
    <row r="21" spans="1:15" ht="12.75">
      <c r="A21" s="259"/>
      <c r="B21" s="21" t="s">
        <v>138</v>
      </c>
      <c r="C21" s="93"/>
      <c r="D21" s="93"/>
      <c r="E21" s="93"/>
      <c r="F21" s="93"/>
      <c r="G21" s="93"/>
      <c r="H21" s="93"/>
      <c r="I21" s="93"/>
      <c r="J21" s="88"/>
      <c r="K21" s="88"/>
      <c r="L21" s="88"/>
      <c r="M21" s="88"/>
      <c r="N21" s="88"/>
      <c r="O21" s="88"/>
    </row>
    <row r="22" spans="1:15" ht="25.5">
      <c r="A22" s="261"/>
      <c r="B22" s="21" t="s">
        <v>297</v>
      </c>
      <c r="C22" s="93">
        <v>37357</v>
      </c>
      <c r="D22" s="93">
        <v>11640</v>
      </c>
      <c r="E22" s="93">
        <v>11709</v>
      </c>
      <c r="F22" s="93">
        <v>65000</v>
      </c>
      <c r="G22" s="93">
        <v>50000</v>
      </c>
      <c r="H22" s="93">
        <v>52000</v>
      </c>
      <c r="I22" s="93">
        <v>53000</v>
      </c>
      <c r="J22" s="83">
        <f>D22/C22</f>
        <v>0.31158818962978824</v>
      </c>
      <c r="K22" s="83">
        <f>E22/C22</f>
        <v>0.3134352330219236</v>
      </c>
      <c r="L22" s="83">
        <f aca="true" t="shared" si="6" ref="L22:O27">F22/E22</f>
        <v>5.5512853360662735</v>
      </c>
      <c r="M22" s="88">
        <f t="shared" si="6"/>
        <v>0.7692307692307693</v>
      </c>
      <c r="N22" s="88">
        <f t="shared" si="6"/>
        <v>1.04</v>
      </c>
      <c r="O22" s="88">
        <f t="shared" si="6"/>
        <v>1.0192307692307692</v>
      </c>
    </row>
    <row r="23" spans="1:15" ht="12.75">
      <c r="A23" s="30"/>
      <c r="B23" s="21" t="s">
        <v>397</v>
      </c>
      <c r="C23" s="93"/>
      <c r="D23" s="93">
        <v>142000</v>
      </c>
      <c r="E23" s="93">
        <v>142000</v>
      </c>
      <c r="F23" s="93">
        <v>145000</v>
      </c>
      <c r="G23" s="93">
        <v>0</v>
      </c>
      <c r="H23" s="93">
        <v>0</v>
      </c>
      <c r="I23" s="93">
        <v>0</v>
      </c>
      <c r="J23" s="83">
        <v>0</v>
      </c>
      <c r="K23" s="83">
        <v>0</v>
      </c>
      <c r="L23" s="83">
        <f>F23/E23</f>
        <v>1.0211267605633803</v>
      </c>
      <c r="M23" s="88">
        <f>G23/F23</f>
        <v>0</v>
      </c>
      <c r="N23" s="88">
        <v>0</v>
      </c>
      <c r="O23" s="88">
        <v>0</v>
      </c>
    </row>
    <row r="24" spans="1:15" s="96" customFormat="1" ht="12.75">
      <c r="A24" s="97" t="s">
        <v>293</v>
      </c>
      <c r="B24" s="22" t="s">
        <v>294</v>
      </c>
      <c r="C24" s="92">
        <f aca="true" t="shared" si="7" ref="C24:I24">C26</f>
        <v>19961</v>
      </c>
      <c r="D24" s="92">
        <f t="shared" si="7"/>
        <v>8540</v>
      </c>
      <c r="E24" s="92">
        <f t="shared" si="7"/>
        <v>8537</v>
      </c>
      <c r="F24" s="92">
        <f t="shared" si="7"/>
        <v>50000</v>
      </c>
      <c r="G24" s="92">
        <f t="shared" si="7"/>
        <v>30000</v>
      </c>
      <c r="H24" s="92">
        <f t="shared" si="7"/>
        <v>30000</v>
      </c>
      <c r="I24" s="92">
        <f t="shared" si="7"/>
        <v>35000</v>
      </c>
      <c r="J24" s="80">
        <f>D24/C24</f>
        <v>0.42783427683983766</v>
      </c>
      <c r="K24" s="80">
        <f>E24/C24</f>
        <v>0.42768398376834826</v>
      </c>
      <c r="L24" s="80">
        <f t="shared" si="6"/>
        <v>5.8568583811643435</v>
      </c>
      <c r="M24" s="72">
        <f t="shared" si="6"/>
        <v>0.6</v>
      </c>
      <c r="N24" s="72">
        <f t="shared" si="6"/>
        <v>1</v>
      </c>
      <c r="O24" s="72">
        <f t="shared" si="6"/>
        <v>1.1666666666666667</v>
      </c>
    </row>
    <row r="25" spans="1:15" ht="12.75">
      <c r="A25" s="30"/>
      <c r="B25" s="21" t="s">
        <v>138</v>
      </c>
      <c r="C25" s="93"/>
      <c r="D25" s="93"/>
      <c r="E25" s="93"/>
      <c r="F25" s="93"/>
      <c r="G25" s="93"/>
      <c r="H25" s="93"/>
      <c r="I25" s="93"/>
      <c r="J25" s="83"/>
      <c r="K25" s="88"/>
      <c r="L25" s="88"/>
      <c r="M25" s="88"/>
      <c r="N25" s="88"/>
      <c r="O25" s="88"/>
    </row>
    <row r="26" spans="1:15" ht="25.5">
      <c r="A26" s="30"/>
      <c r="B26" s="21" t="s">
        <v>395</v>
      </c>
      <c r="C26" s="93">
        <v>19961</v>
      </c>
      <c r="D26" s="93">
        <v>8540</v>
      </c>
      <c r="E26" s="93">
        <v>8537</v>
      </c>
      <c r="F26" s="93">
        <v>50000</v>
      </c>
      <c r="G26" s="93">
        <v>30000</v>
      </c>
      <c r="H26" s="93">
        <v>30000</v>
      </c>
      <c r="I26" s="93">
        <v>35000</v>
      </c>
      <c r="J26" s="83">
        <f>D26/C26</f>
        <v>0.42783427683983766</v>
      </c>
      <c r="K26" s="83">
        <f>E26/C26</f>
        <v>0.42768398376834826</v>
      </c>
      <c r="L26" s="83">
        <f>F26/E26</f>
        <v>5.8568583811643435</v>
      </c>
      <c r="M26" s="88">
        <f>G26/F26</f>
        <v>0.6</v>
      </c>
      <c r="N26" s="88">
        <f>H26/G26</f>
        <v>1</v>
      </c>
      <c r="O26" s="88">
        <f>I26/H26</f>
        <v>1.1666666666666667</v>
      </c>
    </row>
    <row r="27" spans="1:15" ht="12.75">
      <c r="A27" s="22" t="s">
        <v>141</v>
      </c>
      <c r="B27" s="22" t="s">
        <v>142</v>
      </c>
      <c r="C27" s="92">
        <f aca="true" t="shared" si="8" ref="C27:I27">C29+C31+C32+C33+C34+C30</f>
        <v>1406402</v>
      </c>
      <c r="D27" s="92">
        <f t="shared" si="8"/>
        <v>1085947</v>
      </c>
      <c r="E27" s="92">
        <f t="shared" si="8"/>
        <v>1156186</v>
      </c>
      <c r="F27" s="92">
        <f t="shared" si="8"/>
        <v>1196219</v>
      </c>
      <c r="G27" s="92">
        <f t="shared" si="8"/>
        <v>971260</v>
      </c>
      <c r="H27" s="92">
        <f t="shared" si="8"/>
        <v>1022260</v>
      </c>
      <c r="I27" s="92">
        <f t="shared" si="8"/>
        <v>1033260</v>
      </c>
      <c r="J27" s="80">
        <f>D27/C27</f>
        <v>0.7721455174267385</v>
      </c>
      <c r="K27" s="80">
        <f>E27/C27</f>
        <v>0.8220878525485601</v>
      </c>
      <c r="L27" s="80">
        <f t="shared" si="6"/>
        <v>1.0346250516785362</v>
      </c>
      <c r="M27" s="72">
        <f t="shared" si="6"/>
        <v>0.8119416260734865</v>
      </c>
      <c r="N27" s="72">
        <f t="shared" si="6"/>
        <v>1.052509111875296</v>
      </c>
      <c r="O27" s="72">
        <f t="shared" si="6"/>
        <v>1.0107604718956038</v>
      </c>
    </row>
    <row r="28" spans="1:15" ht="12.75">
      <c r="A28" s="259"/>
      <c r="B28" s="21" t="s">
        <v>138</v>
      </c>
      <c r="C28" s="93"/>
      <c r="D28" s="93"/>
      <c r="E28" s="93"/>
      <c r="F28" s="93"/>
      <c r="G28" s="93"/>
      <c r="H28" s="93"/>
      <c r="I28" s="93"/>
      <c r="J28" s="88"/>
      <c r="K28" s="88"/>
      <c r="L28" s="88"/>
      <c r="M28" s="88"/>
      <c r="N28" s="88"/>
      <c r="O28" s="88"/>
    </row>
    <row r="29" spans="1:15" ht="25.5">
      <c r="A29" s="260"/>
      <c r="B29" s="21" t="s">
        <v>329</v>
      </c>
      <c r="C29" s="93">
        <v>4490</v>
      </c>
      <c r="D29" s="93">
        <v>6209</v>
      </c>
      <c r="E29" s="93">
        <v>6209</v>
      </c>
      <c r="F29" s="93">
        <v>6352</v>
      </c>
      <c r="G29" s="93">
        <v>7000</v>
      </c>
      <c r="H29" s="93">
        <v>8000</v>
      </c>
      <c r="I29" s="93">
        <v>9000</v>
      </c>
      <c r="J29" s="83">
        <f aca="true" t="shared" si="9" ref="J29:J35">D29/C29</f>
        <v>1.3828507795100222</v>
      </c>
      <c r="K29" s="83">
        <f aca="true" t="shared" si="10" ref="K29:K35">E29/C29</f>
        <v>1.3828507795100222</v>
      </c>
      <c r="L29" s="83">
        <f aca="true" t="shared" si="11" ref="L29:O33">F29/E29</f>
        <v>1.0230310839104526</v>
      </c>
      <c r="M29" s="88">
        <f t="shared" si="11"/>
        <v>1.102015113350126</v>
      </c>
      <c r="N29" s="88">
        <f t="shared" si="11"/>
        <v>1.1428571428571428</v>
      </c>
      <c r="O29" s="88">
        <f t="shared" si="11"/>
        <v>1.125</v>
      </c>
    </row>
    <row r="30" spans="1:15" ht="25.5">
      <c r="A30" s="260"/>
      <c r="B30" s="21" t="s">
        <v>328</v>
      </c>
      <c r="C30" s="93">
        <v>52510</v>
      </c>
      <c r="D30" s="93">
        <v>52791</v>
      </c>
      <c r="E30" s="93">
        <v>52791</v>
      </c>
      <c r="F30" s="93">
        <v>54260</v>
      </c>
      <c r="G30" s="93">
        <v>54260</v>
      </c>
      <c r="H30" s="93">
        <v>54260</v>
      </c>
      <c r="I30" s="93">
        <v>54260</v>
      </c>
      <c r="J30" s="83">
        <f t="shared" si="9"/>
        <v>1.0053513616454008</v>
      </c>
      <c r="K30" s="83">
        <f t="shared" si="10"/>
        <v>1.0053513616454008</v>
      </c>
      <c r="L30" s="83">
        <f t="shared" si="11"/>
        <v>1.0278267128866663</v>
      </c>
      <c r="M30" s="88">
        <f t="shared" si="11"/>
        <v>1</v>
      </c>
      <c r="N30" s="88">
        <f t="shared" si="11"/>
        <v>1</v>
      </c>
      <c r="O30" s="88">
        <f t="shared" si="11"/>
        <v>1</v>
      </c>
    </row>
    <row r="31" spans="1:15" ht="12.75">
      <c r="A31" s="260"/>
      <c r="B31" s="21" t="s">
        <v>299</v>
      </c>
      <c r="C31" s="93">
        <v>868027</v>
      </c>
      <c r="D31" s="93">
        <v>842600</v>
      </c>
      <c r="E31" s="93">
        <v>827291</v>
      </c>
      <c r="F31" s="93">
        <v>841500</v>
      </c>
      <c r="G31" s="93">
        <v>680000</v>
      </c>
      <c r="H31" s="93">
        <v>680000</v>
      </c>
      <c r="I31" s="93">
        <v>680000</v>
      </c>
      <c r="J31" s="83">
        <f t="shared" si="9"/>
        <v>0.9707071323818268</v>
      </c>
      <c r="K31" s="83">
        <f t="shared" si="10"/>
        <v>0.9530705842099382</v>
      </c>
      <c r="L31" s="83">
        <f t="shared" si="11"/>
        <v>1.0171753349184265</v>
      </c>
      <c r="M31" s="88">
        <f t="shared" si="11"/>
        <v>0.8080808080808081</v>
      </c>
      <c r="N31" s="88">
        <f t="shared" si="11"/>
        <v>1</v>
      </c>
      <c r="O31" s="88">
        <f t="shared" si="11"/>
        <v>1</v>
      </c>
    </row>
    <row r="32" spans="1:15" ht="12.75">
      <c r="A32" s="260"/>
      <c r="B32" s="21" t="s">
        <v>298</v>
      </c>
      <c r="C32" s="93">
        <v>416511</v>
      </c>
      <c r="D32" s="93">
        <v>171262</v>
      </c>
      <c r="E32" s="93">
        <v>256810</v>
      </c>
      <c r="F32" s="93">
        <v>278107</v>
      </c>
      <c r="G32" s="93">
        <v>220000</v>
      </c>
      <c r="H32" s="93">
        <v>230000</v>
      </c>
      <c r="I32" s="93">
        <v>240000</v>
      </c>
      <c r="J32" s="83">
        <f t="shared" si="9"/>
        <v>0.4111824177512719</v>
      </c>
      <c r="K32" s="83">
        <f t="shared" si="10"/>
        <v>0.6165743521779737</v>
      </c>
      <c r="L32" s="83">
        <f t="shared" si="11"/>
        <v>1.0829290136676921</v>
      </c>
      <c r="M32" s="88">
        <f t="shared" si="11"/>
        <v>0.79106243280464</v>
      </c>
      <c r="N32" s="88">
        <f t="shared" si="11"/>
        <v>1.0454545454545454</v>
      </c>
      <c r="O32" s="88">
        <f t="shared" si="11"/>
        <v>1.0434782608695652</v>
      </c>
    </row>
    <row r="33" spans="1:15" ht="12.75">
      <c r="A33" s="260"/>
      <c r="B33" s="21" t="s">
        <v>300</v>
      </c>
      <c r="C33" s="93">
        <v>48157</v>
      </c>
      <c r="D33" s="93">
        <v>13085</v>
      </c>
      <c r="E33" s="93">
        <v>13085</v>
      </c>
      <c r="F33" s="93">
        <v>16000</v>
      </c>
      <c r="G33" s="93">
        <v>10000</v>
      </c>
      <c r="H33" s="93">
        <v>50000</v>
      </c>
      <c r="I33" s="93">
        <v>50000</v>
      </c>
      <c r="J33" s="83">
        <f t="shared" si="9"/>
        <v>0.27171543077849536</v>
      </c>
      <c r="K33" s="83">
        <f t="shared" si="10"/>
        <v>0.27171543077849536</v>
      </c>
      <c r="L33" s="83">
        <f t="shared" si="11"/>
        <v>1.2227741688956821</v>
      </c>
      <c r="M33" s="88">
        <f t="shared" si="11"/>
        <v>0.625</v>
      </c>
      <c r="N33" s="88">
        <f t="shared" si="11"/>
        <v>5</v>
      </c>
      <c r="O33" s="88">
        <f t="shared" si="11"/>
        <v>1</v>
      </c>
    </row>
    <row r="34" spans="1:15" ht="12.75">
      <c r="A34" s="261"/>
      <c r="B34" s="21" t="s">
        <v>301</v>
      </c>
      <c r="C34" s="93">
        <v>16707</v>
      </c>
      <c r="D34" s="93"/>
      <c r="E34" s="93"/>
      <c r="F34" s="93">
        <v>0</v>
      </c>
      <c r="G34" s="93">
        <v>0</v>
      </c>
      <c r="H34" s="93">
        <v>0</v>
      </c>
      <c r="I34" s="93">
        <v>0</v>
      </c>
      <c r="J34" s="83">
        <f t="shared" si="9"/>
        <v>0</v>
      </c>
      <c r="K34" s="83">
        <f t="shared" si="10"/>
        <v>0</v>
      </c>
      <c r="L34" s="83">
        <v>0</v>
      </c>
      <c r="M34" s="88">
        <v>0</v>
      </c>
      <c r="N34" s="88">
        <v>0</v>
      </c>
      <c r="O34" s="88">
        <v>0</v>
      </c>
    </row>
    <row r="35" spans="1:15" ht="38.25">
      <c r="A35" s="22" t="s">
        <v>143</v>
      </c>
      <c r="B35" s="22" t="s">
        <v>144</v>
      </c>
      <c r="C35" s="92">
        <f aca="true" t="shared" si="12" ref="C35:I35">C37+C38</f>
        <v>22393</v>
      </c>
      <c r="D35" s="92">
        <f t="shared" si="12"/>
        <v>28731</v>
      </c>
      <c r="E35" s="92">
        <f t="shared" si="12"/>
        <v>28340</v>
      </c>
      <c r="F35" s="92">
        <f t="shared" si="12"/>
        <v>1081</v>
      </c>
      <c r="G35" s="92">
        <f t="shared" si="12"/>
        <v>1081</v>
      </c>
      <c r="H35" s="92">
        <f t="shared" si="12"/>
        <v>1081</v>
      </c>
      <c r="I35" s="92">
        <f t="shared" si="12"/>
        <v>1081</v>
      </c>
      <c r="J35" s="80">
        <f t="shared" si="9"/>
        <v>1.2830348769704818</v>
      </c>
      <c r="K35" s="80">
        <f t="shared" si="10"/>
        <v>1.26557406332336</v>
      </c>
      <c r="L35" s="80">
        <f>F35/E35</f>
        <v>0.038143966125617504</v>
      </c>
      <c r="M35" s="72">
        <f>G35/F35</f>
        <v>1</v>
      </c>
      <c r="N35" s="72">
        <f>H35/G35</f>
        <v>1</v>
      </c>
      <c r="O35" s="72">
        <f>I35/H35</f>
        <v>1</v>
      </c>
    </row>
    <row r="36" spans="1:15" ht="12.75">
      <c r="A36" s="259"/>
      <c r="B36" s="21" t="s">
        <v>138</v>
      </c>
      <c r="C36" s="93"/>
      <c r="D36" s="93"/>
      <c r="E36" s="93"/>
      <c r="F36" s="93"/>
      <c r="G36" s="93"/>
      <c r="H36" s="93"/>
      <c r="I36" s="93"/>
      <c r="J36" s="88"/>
      <c r="K36" s="88"/>
      <c r="L36" s="88"/>
      <c r="M36" s="88"/>
      <c r="N36" s="88"/>
      <c r="O36" s="88"/>
    </row>
    <row r="37" spans="1:15" ht="12.75">
      <c r="A37" s="260"/>
      <c r="B37" s="21" t="s">
        <v>302</v>
      </c>
      <c r="C37" s="93">
        <v>1012</v>
      </c>
      <c r="D37" s="93">
        <v>1091</v>
      </c>
      <c r="E37" s="93">
        <v>1091</v>
      </c>
      <c r="F37" s="93">
        <v>1081</v>
      </c>
      <c r="G37" s="93">
        <v>1081</v>
      </c>
      <c r="H37" s="93">
        <v>1081</v>
      </c>
      <c r="I37" s="93">
        <v>1081</v>
      </c>
      <c r="J37" s="83">
        <f>D37/C37</f>
        <v>1.0780632411067195</v>
      </c>
      <c r="K37" s="83">
        <f>E37/C37</f>
        <v>1.0780632411067195</v>
      </c>
      <c r="L37" s="83">
        <f aca="true" t="shared" si="13" ref="L37:O39">F37/E37</f>
        <v>0.9908340971585701</v>
      </c>
      <c r="M37" s="88">
        <f t="shared" si="13"/>
        <v>1</v>
      </c>
      <c r="N37" s="88">
        <f t="shared" si="13"/>
        <v>1</v>
      </c>
      <c r="O37" s="88">
        <f t="shared" si="13"/>
        <v>1</v>
      </c>
    </row>
    <row r="38" spans="1:15" ht="12.75">
      <c r="A38" s="261"/>
      <c r="B38" s="21" t="s">
        <v>303</v>
      </c>
      <c r="C38" s="93">
        <v>21381</v>
      </c>
      <c r="D38" s="93">
        <v>27640</v>
      </c>
      <c r="E38" s="93">
        <v>27249</v>
      </c>
      <c r="F38" s="93"/>
      <c r="G38" s="93"/>
      <c r="H38" s="93"/>
      <c r="I38" s="93"/>
      <c r="J38" s="83">
        <f>D38/C38</f>
        <v>1.2927365417894392</v>
      </c>
      <c r="K38" s="83">
        <f>E38/C38</f>
        <v>1.2744492773958187</v>
      </c>
      <c r="L38" s="83">
        <f t="shared" si="13"/>
        <v>0</v>
      </c>
      <c r="M38" s="88">
        <v>0</v>
      </c>
      <c r="N38" s="88">
        <v>0</v>
      </c>
      <c r="O38" s="88">
        <v>0</v>
      </c>
    </row>
    <row r="39" spans="1:15" ht="25.5">
      <c r="A39" s="22" t="s">
        <v>145</v>
      </c>
      <c r="B39" s="22" t="s">
        <v>146</v>
      </c>
      <c r="C39" s="92">
        <f aca="true" t="shared" si="14" ref="C39:I39">C41+C42+C43+C44</f>
        <v>86253</v>
      </c>
      <c r="D39" s="92">
        <f t="shared" si="14"/>
        <v>65132</v>
      </c>
      <c r="E39" s="92">
        <f t="shared" si="14"/>
        <v>72580</v>
      </c>
      <c r="F39" s="92">
        <f t="shared" si="14"/>
        <v>88009</v>
      </c>
      <c r="G39" s="92">
        <f t="shared" si="14"/>
        <v>77320</v>
      </c>
      <c r="H39" s="92">
        <f t="shared" si="14"/>
        <v>79320</v>
      </c>
      <c r="I39" s="92">
        <f t="shared" si="14"/>
        <v>79320</v>
      </c>
      <c r="J39" s="80">
        <f>D39/C39</f>
        <v>0.755127357889001</v>
      </c>
      <c r="K39" s="80">
        <f>E39/C39</f>
        <v>0.8414779775775915</v>
      </c>
      <c r="L39" s="80">
        <f t="shared" si="13"/>
        <v>1.212579222926426</v>
      </c>
      <c r="M39" s="72">
        <f t="shared" si="13"/>
        <v>0.878546512288516</v>
      </c>
      <c r="N39" s="72">
        <f t="shared" si="13"/>
        <v>1.025866528711847</v>
      </c>
      <c r="O39" s="72">
        <f t="shared" si="13"/>
        <v>1</v>
      </c>
    </row>
    <row r="40" spans="1:15" ht="12.75">
      <c r="A40" s="259"/>
      <c r="B40" s="21" t="s">
        <v>138</v>
      </c>
      <c r="C40" s="93"/>
      <c r="D40" s="93"/>
      <c r="E40" s="93"/>
      <c r="F40" s="93"/>
      <c r="G40" s="93"/>
      <c r="H40" s="93"/>
      <c r="I40" s="93"/>
      <c r="J40" s="88"/>
      <c r="K40" s="88"/>
      <c r="L40" s="88"/>
      <c r="M40" s="88"/>
      <c r="N40" s="88"/>
      <c r="O40" s="88"/>
    </row>
    <row r="41" spans="1:15" ht="38.25">
      <c r="A41" s="260"/>
      <c r="B41" s="21" t="s">
        <v>398</v>
      </c>
      <c r="C41" s="93">
        <v>2521</v>
      </c>
      <c r="D41" s="93">
        <v>1705</v>
      </c>
      <c r="E41" s="93">
        <v>1634</v>
      </c>
      <c r="F41" s="93">
        <v>367</v>
      </c>
      <c r="G41" s="93">
        <v>2000</v>
      </c>
      <c r="H41" s="93">
        <v>2000</v>
      </c>
      <c r="I41" s="93">
        <v>2000</v>
      </c>
      <c r="J41" s="83">
        <f>D41/C41</f>
        <v>0.6763189210630702</v>
      </c>
      <c r="K41" s="83">
        <f>E41/C41</f>
        <v>0.6481554938516462</v>
      </c>
      <c r="L41" s="83">
        <f aca="true" t="shared" si="15" ref="L41:O45">F41/E41</f>
        <v>0.22460220318237453</v>
      </c>
      <c r="M41" s="88">
        <f t="shared" si="15"/>
        <v>5.449591280653951</v>
      </c>
      <c r="N41" s="88">
        <f t="shared" si="15"/>
        <v>1</v>
      </c>
      <c r="O41" s="88">
        <f t="shared" si="15"/>
        <v>1</v>
      </c>
    </row>
    <row r="42" spans="1:15" ht="25.5">
      <c r="A42" s="260"/>
      <c r="B42" s="21" t="s">
        <v>304</v>
      </c>
      <c r="C42" s="93">
        <v>57681</v>
      </c>
      <c r="D42" s="93">
        <v>30300</v>
      </c>
      <c r="E42" s="93">
        <v>37242</v>
      </c>
      <c r="F42" s="93">
        <v>55322</v>
      </c>
      <c r="G42" s="93">
        <v>50000</v>
      </c>
      <c r="H42" s="93">
        <v>52000</v>
      </c>
      <c r="I42" s="93">
        <v>52000</v>
      </c>
      <c r="J42" s="83">
        <f>D42/C42</f>
        <v>0.5253029593800385</v>
      </c>
      <c r="K42" s="83">
        <f>E42/C42</f>
        <v>0.6456545482914652</v>
      </c>
      <c r="L42" s="83">
        <f t="shared" si="15"/>
        <v>1.4854733902583106</v>
      </c>
      <c r="M42" s="88">
        <f t="shared" si="15"/>
        <v>0.9037995734066013</v>
      </c>
      <c r="N42" s="88">
        <f t="shared" si="15"/>
        <v>1.04</v>
      </c>
      <c r="O42" s="88">
        <f t="shared" si="15"/>
        <v>1</v>
      </c>
    </row>
    <row r="43" spans="1:15" ht="25.5">
      <c r="A43" s="63"/>
      <c r="B43" s="21" t="s">
        <v>306</v>
      </c>
      <c r="C43" s="93">
        <v>26051</v>
      </c>
      <c r="D43" s="93">
        <v>23127</v>
      </c>
      <c r="E43" s="93">
        <v>23704</v>
      </c>
      <c r="F43" s="93">
        <v>25320</v>
      </c>
      <c r="G43" s="93">
        <v>25320</v>
      </c>
      <c r="H43" s="93">
        <v>25320</v>
      </c>
      <c r="I43" s="93">
        <v>25320</v>
      </c>
      <c r="J43" s="83">
        <f>D43/C43</f>
        <v>0.8877586273079728</v>
      </c>
      <c r="K43" s="83">
        <f>E43/C43</f>
        <v>0.9099074891558865</v>
      </c>
      <c r="L43" s="83">
        <f t="shared" si="15"/>
        <v>1.0681741478231521</v>
      </c>
      <c r="M43" s="88">
        <f t="shared" si="15"/>
        <v>1</v>
      </c>
      <c r="N43" s="88">
        <f t="shared" si="15"/>
        <v>1</v>
      </c>
      <c r="O43" s="88">
        <f t="shared" si="15"/>
        <v>1</v>
      </c>
    </row>
    <row r="44" spans="1:15" ht="28.5" customHeight="1">
      <c r="A44" s="63"/>
      <c r="B44" s="21" t="s">
        <v>399</v>
      </c>
      <c r="C44" s="93"/>
      <c r="D44" s="93">
        <v>10000</v>
      </c>
      <c r="E44" s="93">
        <v>10000</v>
      </c>
      <c r="F44" s="93">
        <v>7000</v>
      </c>
      <c r="G44" s="93">
        <v>0</v>
      </c>
      <c r="H44" s="93">
        <v>0</v>
      </c>
      <c r="I44" s="93">
        <v>0</v>
      </c>
      <c r="J44" s="83">
        <v>0</v>
      </c>
      <c r="K44" s="83">
        <v>0</v>
      </c>
      <c r="L44" s="83">
        <f t="shared" si="15"/>
        <v>0.7</v>
      </c>
      <c r="M44" s="88">
        <f t="shared" si="15"/>
        <v>0</v>
      </c>
      <c r="N44" s="88">
        <v>0</v>
      </c>
      <c r="O44" s="88">
        <v>0</v>
      </c>
    </row>
    <row r="45" spans="1:15" ht="76.5">
      <c r="A45" s="22" t="s">
        <v>147</v>
      </c>
      <c r="B45" s="22" t="s">
        <v>403</v>
      </c>
      <c r="C45" s="92">
        <f aca="true" t="shared" si="16" ref="C45:I45">C47+C48</f>
        <v>11690</v>
      </c>
      <c r="D45" s="92">
        <f t="shared" si="16"/>
        <v>8276</v>
      </c>
      <c r="E45" s="92">
        <f t="shared" si="16"/>
        <v>8274</v>
      </c>
      <c r="F45" s="92">
        <f t="shared" si="16"/>
        <v>15000</v>
      </c>
      <c r="G45" s="92">
        <f t="shared" si="16"/>
        <v>13000</v>
      </c>
      <c r="H45" s="92">
        <f t="shared" si="16"/>
        <v>13500</v>
      </c>
      <c r="I45" s="92">
        <f t="shared" si="16"/>
        <v>13600</v>
      </c>
      <c r="J45" s="80">
        <f>D45/C45</f>
        <v>0.7079555175363559</v>
      </c>
      <c r="K45" s="80">
        <f>E45/C45</f>
        <v>0.7077844311377246</v>
      </c>
      <c r="L45" s="80">
        <f t="shared" si="15"/>
        <v>1.8129079042784626</v>
      </c>
      <c r="M45" s="72">
        <f t="shared" si="15"/>
        <v>0.8666666666666667</v>
      </c>
      <c r="N45" s="72">
        <f t="shared" si="15"/>
        <v>1.0384615384615385</v>
      </c>
      <c r="O45" s="72">
        <f t="shared" si="15"/>
        <v>1.0074074074074073</v>
      </c>
    </row>
    <row r="46" spans="1:15" ht="12.75">
      <c r="A46" s="259"/>
      <c r="B46" s="21" t="s">
        <v>138</v>
      </c>
      <c r="C46" s="93"/>
      <c r="D46" s="93"/>
      <c r="E46" s="93"/>
      <c r="F46" s="93"/>
      <c r="G46" s="93"/>
      <c r="H46" s="93"/>
      <c r="I46" s="93"/>
      <c r="J46" s="88"/>
      <c r="K46" s="88"/>
      <c r="L46" s="88"/>
      <c r="M46" s="88"/>
      <c r="N46" s="88"/>
      <c r="O46" s="88"/>
    </row>
    <row r="47" spans="1:15" ht="25.5">
      <c r="A47" s="260"/>
      <c r="B47" s="21" t="s">
        <v>305</v>
      </c>
      <c r="C47" s="93">
        <v>3427</v>
      </c>
      <c r="D47" s="93">
        <v>2154</v>
      </c>
      <c r="E47" s="93">
        <v>2153</v>
      </c>
      <c r="F47" s="93"/>
      <c r="G47" s="93"/>
      <c r="H47" s="93"/>
      <c r="I47" s="93"/>
      <c r="J47" s="83">
        <f>D47/C47</f>
        <v>0.6285380799533119</v>
      </c>
      <c r="K47" s="83">
        <f>E47/C47</f>
        <v>0.6282462795447914</v>
      </c>
      <c r="L47" s="83">
        <f aca="true" t="shared" si="17" ref="L47:O49">F47/E47</f>
        <v>0</v>
      </c>
      <c r="M47" s="88">
        <v>0</v>
      </c>
      <c r="N47" s="88">
        <v>0</v>
      </c>
      <c r="O47" s="88">
        <v>0</v>
      </c>
    </row>
    <row r="48" spans="1:15" ht="25.5">
      <c r="A48" s="261"/>
      <c r="B48" s="21" t="s">
        <v>307</v>
      </c>
      <c r="C48" s="93">
        <v>8263</v>
      </c>
      <c r="D48" s="93">
        <v>6122</v>
      </c>
      <c r="E48" s="93">
        <v>6121</v>
      </c>
      <c r="F48" s="93">
        <v>15000</v>
      </c>
      <c r="G48" s="93">
        <v>13000</v>
      </c>
      <c r="H48" s="93">
        <v>13500</v>
      </c>
      <c r="I48" s="93">
        <v>13600</v>
      </c>
      <c r="J48" s="83">
        <f>D48/C48</f>
        <v>0.7408931380854411</v>
      </c>
      <c r="K48" s="83">
        <f>E48/C48</f>
        <v>0.7407721166646496</v>
      </c>
      <c r="L48" s="83">
        <f t="shared" si="17"/>
        <v>2.4505799705930404</v>
      </c>
      <c r="M48" s="88">
        <f t="shared" si="17"/>
        <v>0.8666666666666667</v>
      </c>
      <c r="N48" s="88">
        <f t="shared" si="17"/>
        <v>1.0384615384615385</v>
      </c>
      <c r="O48" s="88">
        <f t="shared" si="17"/>
        <v>1.0074074074074073</v>
      </c>
    </row>
    <row r="49" spans="1:15" ht="12.75">
      <c r="A49" s="22" t="s">
        <v>148</v>
      </c>
      <c r="B49" s="22" t="s">
        <v>149</v>
      </c>
      <c r="C49" s="92">
        <f aca="true" t="shared" si="18" ref="C49:I49">C51</f>
        <v>168000</v>
      </c>
      <c r="D49" s="92">
        <f t="shared" si="18"/>
        <v>140005</v>
      </c>
      <c r="E49" s="92">
        <f t="shared" si="18"/>
        <v>142275</v>
      </c>
      <c r="F49" s="92">
        <f t="shared" si="18"/>
        <v>215000</v>
      </c>
      <c r="G49" s="92">
        <f t="shared" si="18"/>
        <v>234907</v>
      </c>
      <c r="H49" s="92">
        <f t="shared" si="18"/>
        <v>212684</v>
      </c>
      <c r="I49" s="92">
        <f t="shared" si="18"/>
        <v>183258</v>
      </c>
      <c r="J49" s="80">
        <f>D49/C49</f>
        <v>0.8333630952380953</v>
      </c>
      <c r="K49" s="80">
        <f>E49/C49</f>
        <v>0.846875</v>
      </c>
      <c r="L49" s="80">
        <f t="shared" si="17"/>
        <v>1.5111579687225443</v>
      </c>
      <c r="M49" s="72">
        <f t="shared" si="17"/>
        <v>1.0925906976744186</v>
      </c>
      <c r="N49" s="72">
        <f t="shared" si="17"/>
        <v>0.90539660376234</v>
      </c>
      <c r="O49" s="72">
        <f t="shared" si="17"/>
        <v>0.8616445054635046</v>
      </c>
    </row>
    <row r="50" spans="1:15" ht="12.75">
      <c r="A50" s="259"/>
      <c r="B50" s="21" t="s">
        <v>138</v>
      </c>
      <c r="C50" s="93"/>
      <c r="D50" s="93"/>
      <c r="E50" s="93"/>
      <c r="F50" s="93"/>
      <c r="G50" s="93"/>
      <c r="H50" s="93"/>
      <c r="I50" s="93"/>
      <c r="J50" s="88"/>
      <c r="K50" s="88"/>
      <c r="L50" s="88"/>
      <c r="M50" s="88"/>
      <c r="N50" s="88"/>
      <c r="O50" s="88"/>
    </row>
    <row r="51" spans="1:15" ht="25.5">
      <c r="A51" s="263"/>
      <c r="B51" s="33" t="s">
        <v>168</v>
      </c>
      <c r="C51" s="94">
        <v>168000</v>
      </c>
      <c r="D51" s="93">
        <v>140005</v>
      </c>
      <c r="E51" s="93">
        <v>142275</v>
      </c>
      <c r="F51" s="93">
        <v>215000</v>
      </c>
      <c r="G51" s="93">
        <f>'NOWA akcja kredytowa-Wersja II'!F12</f>
        <v>234907</v>
      </c>
      <c r="H51" s="93">
        <f>'NOWA akcja kredytowa-Wersja II'!G12</f>
        <v>212684</v>
      </c>
      <c r="I51" s="93">
        <f>'NOWA akcja kredytowa-Wersja II'!H12</f>
        <v>183258</v>
      </c>
      <c r="J51" s="83">
        <f>D51/C51</f>
        <v>0.8333630952380953</v>
      </c>
      <c r="K51" s="83">
        <f>E51/C51</f>
        <v>0.846875</v>
      </c>
      <c r="L51" s="83">
        <f aca="true" t="shared" si="19" ref="L51:O52">F51/E51</f>
        <v>1.5111579687225443</v>
      </c>
      <c r="M51" s="88">
        <f t="shared" si="19"/>
        <v>1.0925906976744186</v>
      </c>
      <c r="N51" s="88">
        <f t="shared" si="19"/>
        <v>0.90539660376234</v>
      </c>
      <c r="O51" s="88">
        <f t="shared" si="19"/>
        <v>0.8616445054635046</v>
      </c>
    </row>
    <row r="52" spans="1:15" ht="12.75">
      <c r="A52" s="22" t="s">
        <v>150</v>
      </c>
      <c r="B52" s="22" t="s">
        <v>151</v>
      </c>
      <c r="C52" s="92">
        <f aca="true" t="shared" si="20" ref="C52:I52">C54+C55+C56+C57</f>
        <v>78084</v>
      </c>
      <c r="D52" s="92">
        <f t="shared" si="20"/>
        <v>429435</v>
      </c>
      <c r="E52" s="92">
        <f t="shared" si="20"/>
        <v>319678</v>
      </c>
      <c r="F52" s="92">
        <f t="shared" si="20"/>
        <v>1012458</v>
      </c>
      <c r="G52" s="92">
        <f t="shared" si="20"/>
        <v>50000</v>
      </c>
      <c r="H52" s="92">
        <f t="shared" si="20"/>
        <v>60000</v>
      </c>
      <c r="I52" s="92">
        <f t="shared" si="20"/>
        <v>70000</v>
      </c>
      <c r="J52" s="80">
        <f>D52/C52</f>
        <v>5.499654218533887</v>
      </c>
      <c r="K52" s="80">
        <f>E52/C52</f>
        <v>4.094026945340915</v>
      </c>
      <c r="L52" s="80">
        <f t="shared" si="19"/>
        <v>3.1671181626511675</v>
      </c>
      <c r="M52" s="72">
        <f t="shared" si="19"/>
        <v>0.049384764602581045</v>
      </c>
      <c r="N52" s="72">
        <f t="shared" si="19"/>
        <v>1.2</v>
      </c>
      <c r="O52" s="72">
        <f t="shared" si="19"/>
        <v>1.1666666666666667</v>
      </c>
    </row>
    <row r="53" spans="1:15" ht="12.75">
      <c r="A53" s="259"/>
      <c r="B53" s="21" t="s">
        <v>138</v>
      </c>
      <c r="C53" s="93"/>
      <c r="D53" s="93"/>
      <c r="E53" s="93"/>
      <c r="F53" s="93"/>
      <c r="G53" s="93"/>
      <c r="H53" s="93"/>
      <c r="I53" s="93"/>
      <c r="J53" s="88"/>
      <c r="K53" s="88"/>
      <c r="L53" s="88"/>
      <c r="M53" s="88"/>
      <c r="N53" s="88"/>
      <c r="O53" s="88"/>
    </row>
    <row r="54" spans="1:15" ht="38.25">
      <c r="A54" s="260"/>
      <c r="B54" s="21" t="s">
        <v>396</v>
      </c>
      <c r="C54" s="94">
        <v>78084</v>
      </c>
      <c r="D54" s="93">
        <v>420000</v>
      </c>
      <c r="E54" s="93">
        <v>297569</v>
      </c>
      <c r="F54" s="93">
        <v>1000000</v>
      </c>
      <c r="G54" s="93">
        <v>0</v>
      </c>
      <c r="H54" s="93">
        <v>0</v>
      </c>
      <c r="I54" s="93">
        <v>0</v>
      </c>
      <c r="J54" s="83">
        <f>D54/C54</f>
        <v>5.3788228062086985</v>
      </c>
      <c r="K54" s="83">
        <f>E54/C54</f>
        <v>3.8108831514778956</v>
      </c>
      <c r="L54" s="83">
        <f>F54/E54</f>
        <v>3.36056511262934</v>
      </c>
      <c r="M54" s="88">
        <v>0</v>
      </c>
      <c r="N54" s="88">
        <v>0</v>
      </c>
      <c r="O54" s="88">
        <v>0</v>
      </c>
    </row>
    <row r="55" spans="1:15" ht="12.75">
      <c r="A55" s="263"/>
      <c r="B55" s="21" t="s">
        <v>308</v>
      </c>
      <c r="C55" s="94"/>
      <c r="D55" s="93"/>
      <c r="E55" s="93"/>
      <c r="F55" s="93">
        <v>12458</v>
      </c>
      <c r="G55" s="93">
        <v>50000</v>
      </c>
      <c r="H55" s="93">
        <v>60000</v>
      </c>
      <c r="I55" s="93">
        <v>70000</v>
      </c>
      <c r="J55" s="83">
        <v>0</v>
      </c>
      <c r="K55" s="83">
        <v>0</v>
      </c>
      <c r="L55" s="83">
        <v>0</v>
      </c>
      <c r="M55" s="88">
        <f>G55/F55</f>
        <v>4.013485310643763</v>
      </c>
      <c r="N55" s="88">
        <f>H55/G55</f>
        <v>1.2</v>
      </c>
      <c r="O55" s="88">
        <f>I55/H55</f>
        <v>1.1666666666666667</v>
      </c>
    </row>
    <row r="56" spans="1:15" ht="25.5">
      <c r="A56" s="129"/>
      <c r="B56" s="21" t="s">
        <v>455</v>
      </c>
      <c r="C56" s="94"/>
      <c r="D56" s="93">
        <v>6933</v>
      </c>
      <c r="E56" s="93">
        <v>6933</v>
      </c>
      <c r="F56" s="93"/>
      <c r="G56" s="93"/>
      <c r="H56" s="93"/>
      <c r="I56" s="93"/>
      <c r="J56" s="83">
        <v>0</v>
      </c>
      <c r="K56" s="83">
        <v>0</v>
      </c>
      <c r="L56" s="83">
        <v>0</v>
      </c>
      <c r="M56" s="88">
        <v>0</v>
      </c>
      <c r="N56" s="88">
        <v>0</v>
      </c>
      <c r="O56" s="88">
        <v>0</v>
      </c>
    </row>
    <row r="57" spans="1:15" ht="12.75">
      <c r="A57" s="129"/>
      <c r="B57" s="21" t="s">
        <v>454</v>
      </c>
      <c r="C57" s="94"/>
      <c r="D57" s="93">
        <v>2502</v>
      </c>
      <c r="E57" s="93">
        <v>15176</v>
      </c>
      <c r="F57" s="93"/>
      <c r="G57" s="93"/>
      <c r="H57" s="93"/>
      <c r="I57" s="93"/>
      <c r="J57" s="83">
        <v>0</v>
      </c>
      <c r="K57" s="83">
        <v>0</v>
      </c>
      <c r="L57" s="83">
        <v>0</v>
      </c>
      <c r="M57" s="88">
        <v>0</v>
      </c>
      <c r="N57" s="88">
        <v>0</v>
      </c>
      <c r="O57" s="88">
        <v>0</v>
      </c>
    </row>
    <row r="58" spans="1:15" ht="12.75">
      <c r="A58" s="129"/>
      <c r="B58" s="21" t="s">
        <v>457</v>
      </c>
      <c r="C58" s="94"/>
      <c r="D58" s="93"/>
      <c r="E58" s="93"/>
      <c r="F58" s="93"/>
      <c r="G58" s="93">
        <v>551319</v>
      </c>
      <c r="H58" s="93">
        <v>208220</v>
      </c>
      <c r="I58" s="93">
        <v>162631</v>
      </c>
      <c r="J58" s="93"/>
      <c r="K58" s="83"/>
      <c r="L58" s="83"/>
      <c r="M58" s="88"/>
      <c r="N58" s="88"/>
      <c r="O58" s="88"/>
    </row>
    <row r="59" spans="1:15" ht="12.75">
      <c r="A59" s="22" t="s">
        <v>152</v>
      </c>
      <c r="B59" s="22" t="s">
        <v>153</v>
      </c>
      <c r="C59" s="92">
        <f aca="true" t="shared" si="21" ref="C59:I59">C61+C63+C65+C67+C69+C71+C72+C74+C73</f>
        <v>5576111</v>
      </c>
      <c r="D59" s="92">
        <f t="shared" si="21"/>
        <v>5315573</v>
      </c>
      <c r="E59" s="92">
        <f t="shared" si="21"/>
        <v>4523668</v>
      </c>
      <c r="F59" s="92">
        <f t="shared" si="21"/>
        <v>6722300</v>
      </c>
      <c r="G59" s="92">
        <f t="shared" si="21"/>
        <v>4565331</v>
      </c>
      <c r="H59" s="92">
        <f t="shared" si="21"/>
        <v>4649840</v>
      </c>
      <c r="I59" s="92">
        <f t="shared" si="21"/>
        <v>4775040</v>
      </c>
      <c r="J59" s="80">
        <f>D59/C59</f>
        <v>0.9532760377259348</v>
      </c>
      <c r="K59" s="80">
        <f>E59/C59</f>
        <v>0.8112585994073648</v>
      </c>
      <c r="L59" s="80">
        <f>F59/E59</f>
        <v>1.4860285944945562</v>
      </c>
      <c r="M59" s="72">
        <f>G59/F59</f>
        <v>0.6791322910313434</v>
      </c>
      <c r="N59" s="72">
        <f>H59/G59</f>
        <v>1.0185110345777777</v>
      </c>
      <c r="O59" s="72">
        <f>I59/H59</f>
        <v>1.0269256576570376</v>
      </c>
    </row>
    <row r="60" spans="1:15" ht="12.75">
      <c r="A60" s="259"/>
      <c r="B60" s="21" t="s">
        <v>138</v>
      </c>
      <c r="C60" s="93"/>
      <c r="D60" s="93"/>
      <c r="E60" s="93"/>
      <c r="F60" s="93"/>
      <c r="G60" s="93"/>
      <c r="H60" s="93"/>
      <c r="I60" s="93"/>
      <c r="J60" s="88"/>
      <c r="K60" s="88"/>
      <c r="L60" s="88"/>
      <c r="M60" s="88"/>
      <c r="N60" s="88"/>
      <c r="O60" s="88"/>
    </row>
    <row r="61" spans="1:15" ht="12.75">
      <c r="A61" s="260"/>
      <c r="B61" s="21" t="s">
        <v>309</v>
      </c>
      <c r="C61" s="93">
        <v>2906694</v>
      </c>
      <c r="D61" s="93">
        <v>2732516</v>
      </c>
      <c r="E61" s="93">
        <v>2174806</v>
      </c>
      <c r="F61" s="93">
        <v>3820000</v>
      </c>
      <c r="G61" s="93">
        <v>2500000</v>
      </c>
      <c r="H61" s="93">
        <v>2550000</v>
      </c>
      <c r="I61" s="93">
        <v>2650000</v>
      </c>
      <c r="J61" s="83">
        <f aca="true" t="shared" si="22" ref="J61:J75">D61/C61</f>
        <v>0.9400769396434575</v>
      </c>
      <c r="K61" s="83">
        <f aca="true" t="shared" si="23" ref="K61:K75">E61/C61</f>
        <v>0.7482060375120325</v>
      </c>
      <c r="L61" s="83">
        <f aca="true" t="shared" si="24" ref="L61:L73">F61/E61</f>
        <v>1.7564785088876893</v>
      </c>
      <c r="M61" s="88">
        <f aca="true" t="shared" si="25" ref="M61:M73">G61/F61</f>
        <v>0.6544502617801047</v>
      </c>
      <c r="N61" s="88">
        <f aca="true" t="shared" si="26" ref="N61:N73">H61/G61</f>
        <v>1.02</v>
      </c>
      <c r="O61" s="88">
        <f aca="true" t="shared" si="27" ref="O61:O73">I61/H61</f>
        <v>1.0392156862745099</v>
      </c>
    </row>
    <row r="62" spans="1:15" ht="25.5">
      <c r="A62" s="260"/>
      <c r="B62" s="21" t="s">
        <v>167</v>
      </c>
      <c r="C62" s="93">
        <v>2263218</v>
      </c>
      <c r="D62" s="93">
        <v>2423196</v>
      </c>
      <c r="E62" s="93">
        <v>1775876</v>
      </c>
      <c r="F62" s="93">
        <v>3163000</v>
      </c>
      <c r="G62" s="93">
        <v>2150000</v>
      </c>
      <c r="H62" s="93">
        <v>2200000</v>
      </c>
      <c r="I62" s="93">
        <v>2200000</v>
      </c>
      <c r="J62" s="83">
        <f t="shared" si="22"/>
        <v>1.0706860761976973</v>
      </c>
      <c r="K62" s="83">
        <f t="shared" si="23"/>
        <v>0.784668556011838</v>
      </c>
      <c r="L62" s="83">
        <f t="shared" si="24"/>
        <v>1.781092824048526</v>
      </c>
      <c r="M62" s="88">
        <f t="shared" si="25"/>
        <v>0.6797344293392349</v>
      </c>
      <c r="N62" s="88">
        <f t="shared" si="26"/>
        <v>1.0232558139534884</v>
      </c>
      <c r="O62" s="88">
        <f t="shared" si="27"/>
        <v>1</v>
      </c>
    </row>
    <row r="63" spans="1:15" ht="12.75">
      <c r="A63" s="260"/>
      <c r="B63" s="21" t="s">
        <v>310</v>
      </c>
      <c r="C63" s="93">
        <v>1238042</v>
      </c>
      <c r="D63" s="93">
        <v>1368698</v>
      </c>
      <c r="E63" s="93">
        <v>1133801</v>
      </c>
      <c r="F63" s="93">
        <v>1848000</v>
      </c>
      <c r="G63" s="93">
        <v>1200000</v>
      </c>
      <c r="H63" s="93">
        <v>1230000</v>
      </c>
      <c r="I63" s="93">
        <v>1250000</v>
      </c>
      <c r="J63" s="83">
        <f t="shared" si="22"/>
        <v>1.105534384132364</v>
      </c>
      <c r="K63" s="83">
        <f t="shared" si="23"/>
        <v>0.9158017256280482</v>
      </c>
      <c r="L63" s="83">
        <f t="shared" si="24"/>
        <v>1.6299156553927894</v>
      </c>
      <c r="M63" s="88">
        <f t="shared" si="25"/>
        <v>0.6493506493506493</v>
      </c>
      <c r="N63" s="88">
        <f t="shared" si="26"/>
        <v>1.025</v>
      </c>
      <c r="O63" s="88">
        <f t="shared" si="27"/>
        <v>1.016260162601626</v>
      </c>
    </row>
    <row r="64" spans="1:15" ht="25.5">
      <c r="A64" s="260"/>
      <c r="B64" s="21" t="s">
        <v>167</v>
      </c>
      <c r="C64" s="93">
        <v>977578</v>
      </c>
      <c r="D64" s="93">
        <v>1207750</v>
      </c>
      <c r="E64" s="93">
        <v>920456</v>
      </c>
      <c r="F64" s="93">
        <v>1428000</v>
      </c>
      <c r="G64" s="93">
        <v>1020000</v>
      </c>
      <c r="H64" s="93">
        <v>1030000</v>
      </c>
      <c r="I64" s="93">
        <v>1050000</v>
      </c>
      <c r="J64" s="83">
        <f t="shared" si="22"/>
        <v>1.2354512887974156</v>
      </c>
      <c r="K64" s="83">
        <f t="shared" si="23"/>
        <v>0.9415678339733504</v>
      </c>
      <c r="L64" s="83">
        <f t="shared" si="24"/>
        <v>1.5514049558045142</v>
      </c>
      <c r="M64" s="88">
        <f t="shared" si="25"/>
        <v>0.7142857142857143</v>
      </c>
      <c r="N64" s="88">
        <f t="shared" si="26"/>
        <v>1.0098039215686274</v>
      </c>
      <c r="O64" s="88">
        <f t="shared" si="27"/>
        <v>1.0194174757281553</v>
      </c>
    </row>
    <row r="65" spans="1:15" ht="12.75">
      <c r="A65" s="260"/>
      <c r="B65" s="21" t="s">
        <v>311</v>
      </c>
      <c r="C65" s="93">
        <v>103980</v>
      </c>
      <c r="D65" s="93">
        <v>99638</v>
      </c>
      <c r="E65" s="93">
        <v>101980</v>
      </c>
      <c r="F65" s="93">
        <v>100500</v>
      </c>
      <c r="G65" s="93">
        <v>95000</v>
      </c>
      <c r="H65" s="93">
        <v>97000</v>
      </c>
      <c r="I65" s="93">
        <v>99000</v>
      </c>
      <c r="J65" s="83">
        <f t="shared" si="22"/>
        <v>0.9582419696095403</v>
      </c>
      <c r="K65" s="83">
        <f t="shared" si="23"/>
        <v>0.9807655318330448</v>
      </c>
      <c r="L65" s="83">
        <f t="shared" si="24"/>
        <v>0.9854873504608747</v>
      </c>
      <c r="M65" s="88">
        <f t="shared" si="25"/>
        <v>0.945273631840796</v>
      </c>
      <c r="N65" s="88">
        <f t="shared" si="26"/>
        <v>1.0210526315789474</v>
      </c>
      <c r="O65" s="88">
        <f t="shared" si="27"/>
        <v>1.0206185567010309</v>
      </c>
    </row>
    <row r="66" spans="1:15" ht="25.5">
      <c r="A66" s="260"/>
      <c r="B66" s="21" t="s">
        <v>167</v>
      </c>
      <c r="C66" s="93">
        <v>30886</v>
      </c>
      <c r="D66" s="93">
        <v>8873</v>
      </c>
      <c r="E66" s="93">
        <v>8872</v>
      </c>
      <c r="F66" s="93">
        <v>0</v>
      </c>
      <c r="G66" s="93">
        <v>0</v>
      </c>
      <c r="H66" s="93">
        <v>0</v>
      </c>
      <c r="I66" s="93">
        <v>0</v>
      </c>
      <c r="J66" s="83">
        <f t="shared" si="22"/>
        <v>0.2872822638088454</v>
      </c>
      <c r="K66" s="83">
        <f t="shared" si="23"/>
        <v>0.2872498866800492</v>
      </c>
      <c r="L66" s="83">
        <f t="shared" si="24"/>
        <v>0</v>
      </c>
      <c r="M66" s="88">
        <v>0</v>
      </c>
      <c r="N66" s="88">
        <v>0</v>
      </c>
      <c r="O66" s="88">
        <v>0</v>
      </c>
    </row>
    <row r="67" spans="1:15" ht="25.5">
      <c r="A67" s="260"/>
      <c r="B67" s="21" t="s">
        <v>312</v>
      </c>
      <c r="C67" s="93">
        <v>515320</v>
      </c>
      <c r="D67" s="93">
        <v>458632</v>
      </c>
      <c r="E67" s="93">
        <v>454473</v>
      </c>
      <c r="F67" s="93">
        <v>360000</v>
      </c>
      <c r="G67" s="93">
        <v>290100</v>
      </c>
      <c r="H67" s="93">
        <v>291000</v>
      </c>
      <c r="I67" s="93">
        <v>292000</v>
      </c>
      <c r="J67" s="83">
        <f t="shared" si="22"/>
        <v>0.889994566482962</v>
      </c>
      <c r="K67" s="83">
        <f t="shared" si="23"/>
        <v>0.8819238531397966</v>
      </c>
      <c r="L67" s="83">
        <f t="shared" si="24"/>
        <v>0.7921262649266293</v>
      </c>
      <c r="M67" s="88">
        <f t="shared" si="25"/>
        <v>0.8058333333333333</v>
      </c>
      <c r="N67" s="88">
        <f t="shared" si="26"/>
        <v>1.0031023784901758</v>
      </c>
      <c r="O67" s="88">
        <f t="shared" si="27"/>
        <v>1.0034364261168385</v>
      </c>
    </row>
    <row r="68" spans="1:15" ht="25.5">
      <c r="A68" s="260"/>
      <c r="B68" s="21" t="s">
        <v>167</v>
      </c>
      <c r="C68" s="93">
        <v>301494</v>
      </c>
      <c r="D68" s="93">
        <v>393689</v>
      </c>
      <c r="E68" s="93">
        <v>371730</v>
      </c>
      <c r="F68" s="93">
        <v>322000</v>
      </c>
      <c r="G68" s="93">
        <v>270080</v>
      </c>
      <c r="H68" s="93">
        <v>272000</v>
      </c>
      <c r="I68" s="93">
        <v>272000</v>
      </c>
      <c r="J68" s="83">
        <f t="shared" si="22"/>
        <v>1.3057938134755585</v>
      </c>
      <c r="K68" s="83">
        <f t="shared" si="23"/>
        <v>1.2329598598977094</v>
      </c>
      <c r="L68" s="83">
        <f t="shared" si="24"/>
        <v>0.8662201059909074</v>
      </c>
      <c r="M68" s="88">
        <f t="shared" si="25"/>
        <v>0.8387577639751553</v>
      </c>
      <c r="N68" s="88">
        <f t="shared" si="26"/>
        <v>1.0071090047393365</v>
      </c>
      <c r="O68" s="88">
        <f t="shared" si="27"/>
        <v>1</v>
      </c>
    </row>
    <row r="69" spans="1:15" ht="12.75">
      <c r="A69" s="260"/>
      <c r="B69" s="21" t="s">
        <v>400</v>
      </c>
      <c r="C69" s="93">
        <v>463532</v>
      </c>
      <c r="D69" s="93">
        <v>525186</v>
      </c>
      <c r="E69" s="93">
        <v>456605</v>
      </c>
      <c r="F69" s="93">
        <v>514000</v>
      </c>
      <c r="G69" s="93">
        <v>419000</v>
      </c>
      <c r="H69" s="93">
        <v>420000</v>
      </c>
      <c r="I69" s="93">
        <v>421000</v>
      </c>
      <c r="J69" s="83">
        <f t="shared" si="22"/>
        <v>1.1330091557864397</v>
      </c>
      <c r="K69" s="83">
        <f t="shared" si="23"/>
        <v>0.9850560479103924</v>
      </c>
      <c r="L69" s="83">
        <f t="shared" si="24"/>
        <v>1.1256994557659246</v>
      </c>
      <c r="M69" s="88">
        <f t="shared" si="25"/>
        <v>0.8151750972762646</v>
      </c>
      <c r="N69" s="88">
        <f t="shared" si="26"/>
        <v>1.0023866348448687</v>
      </c>
      <c r="O69" s="88">
        <f t="shared" si="27"/>
        <v>1.0023809523809524</v>
      </c>
    </row>
    <row r="70" spans="1:15" ht="25.5">
      <c r="A70" s="260"/>
      <c r="B70" s="21" t="s">
        <v>167</v>
      </c>
      <c r="C70" s="93">
        <v>389203</v>
      </c>
      <c r="D70" s="93">
        <v>502508</v>
      </c>
      <c r="E70" s="93">
        <v>423494</v>
      </c>
      <c r="F70" s="93">
        <v>422000</v>
      </c>
      <c r="G70" s="93">
        <v>353100</v>
      </c>
      <c r="H70" s="93">
        <v>354000</v>
      </c>
      <c r="I70" s="93">
        <v>354000</v>
      </c>
      <c r="J70" s="83">
        <f t="shared" si="22"/>
        <v>1.2911205720408117</v>
      </c>
      <c r="K70" s="83">
        <f t="shared" si="23"/>
        <v>1.0881056929160362</v>
      </c>
      <c r="L70" s="83">
        <f t="shared" si="24"/>
        <v>0.9964722050371434</v>
      </c>
      <c r="M70" s="88">
        <f t="shared" si="25"/>
        <v>0.8367298578199052</v>
      </c>
      <c r="N70" s="88">
        <f t="shared" si="26"/>
        <v>1.0025488530161428</v>
      </c>
      <c r="O70" s="88">
        <f t="shared" si="27"/>
        <v>1</v>
      </c>
    </row>
    <row r="71" spans="1:15" ht="12.75">
      <c r="A71" s="260"/>
      <c r="B71" s="21" t="s">
        <v>171</v>
      </c>
      <c r="C71" s="93">
        <v>15947</v>
      </c>
      <c r="D71" s="93"/>
      <c r="E71" s="93"/>
      <c r="F71" s="93">
        <v>24000</v>
      </c>
      <c r="G71" s="93">
        <v>26000</v>
      </c>
      <c r="H71" s="93">
        <v>26000</v>
      </c>
      <c r="I71" s="93">
        <v>27000</v>
      </c>
      <c r="J71" s="83">
        <f t="shared" si="22"/>
        <v>0</v>
      </c>
      <c r="K71" s="83">
        <f t="shared" si="23"/>
        <v>0</v>
      </c>
      <c r="L71" s="83">
        <v>0</v>
      </c>
      <c r="M71" s="88">
        <f t="shared" si="25"/>
        <v>1.0833333333333333</v>
      </c>
      <c r="N71" s="88">
        <f t="shared" si="26"/>
        <v>1</v>
      </c>
      <c r="O71" s="88">
        <f t="shared" si="27"/>
        <v>1.0384615384615385</v>
      </c>
    </row>
    <row r="72" spans="1:15" ht="12.75">
      <c r="A72" s="260"/>
      <c r="B72" s="21" t="s">
        <v>172</v>
      </c>
      <c r="C72" s="93">
        <v>733</v>
      </c>
      <c r="D72" s="93">
        <v>450</v>
      </c>
      <c r="E72" s="93">
        <v>450</v>
      </c>
      <c r="F72" s="93">
        <v>1000</v>
      </c>
      <c r="G72" s="93">
        <v>0</v>
      </c>
      <c r="H72" s="93">
        <v>0</v>
      </c>
      <c r="I72" s="93">
        <v>0</v>
      </c>
      <c r="J72" s="83">
        <f t="shared" si="22"/>
        <v>0.6139154160982264</v>
      </c>
      <c r="K72" s="83">
        <f t="shared" si="23"/>
        <v>0.6139154160982264</v>
      </c>
      <c r="L72" s="83">
        <f t="shared" si="24"/>
        <v>2.2222222222222223</v>
      </c>
      <c r="M72" s="88">
        <f t="shared" si="25"/>
        <v>0</v>
      </c>
      <c r="N72" s="88">
        <v>0</v>
      </c>
      <c r="O72" s="88">
        <v>0</v>
      </c>
    </row>
    <row r="73" spans="1:15" ht="12.75">
      <c r="A73" s="260"/>
      <c r="B73" s="21" t="s">
        <v>313</v>
      </c>
      <c r="C73" s="93">
        <v>11863</v>
      </c>
      <c r="D73" s="93">
        <v>40853</v>
      </c>
      <c r="E73" s="93">
        <v>34966</v>
      </c>
      <c r="F73" s="93">
        <v>40000</v>
      </c>
      <c r="G73" s="93">
        <f>(G62+G64+G70)*0.01</f>
        <v>35231</v>
      </c>
      <c r="H73" s="93">
        <f>(H62+H64+H70)*0.01</f>
        <v>35840</v>
      </c>
      <c r="I73" s="93">
        <f>(I62+I64+I70)*0.01</f>
        <v>36040</v>
      </c>
      <c r="J73" s="83">
        <f t="shared" si="22"/>
        <v>3.4437326140099467</v>
      </c>
      <c r="K73" s="83">
        <f t="shared" si="23"/>
        <v>2.9474837730759504</v>
      </c>
      <c r="L73" s="83">
        <f t="shared" si="24"/>
        <v>1.1439684264714294</v>
      </c>
      <c r="M73" s="88">
        <f t="shared" si="25"/>
        <v>0.880775</v>
      </c>
      <c r="N73" s="88">
        <f t="shared" si="26"/>
        <v>1.0172859129743692</v>
      </c>
      <c r="O73" s="88">
        <f t="shared" si="27"/>
        <v>1.0055803571428572</v>
      </c>
    </row>
    <row r="74" spans="1:15" ht="12.75">
      <c r="A74" s="261"/>
      <c r="B74" s="21" t="s">
        <v>169</v>
      </c>
      <c r="C74" s="93">
        <v>320000</v>
      </c>
      <c r="D74" s="93">
        <v>89600</v>
      </c>
      <c r="E74" s="93">
        <v>166587</v>
      </c>
      <c r="F74" s="93">
        <v>14800</v>
      </c>
      <c r="G74" s="93">
        <v>0</v>
      </c>
      <c r="H74" s="93">
        <v>0</v>
      </c>
      <c r="I74" s="93">
        <v>0</v>
      </c>
      <c r="J74" s="83">
        <f t="shared" si="22"/>
        <v>0.28</v>
      </c>
      <c r="K74" s="83">
        <f t="shared" si="23"/>
        <v>0.520584375</v>
      </c>
      <c r="L74" s="83">
        <f aca="true" t="shared" si="28" ref="L74:O75">F74/E74</f>
        <v>0.08884246669908216</v>
      </c>
      <c r="M74" s="88">
        <f t="shared" si="28"/>
        <v>0</v>
      </c>
      <c r="N74" s="88">
        <v>0</v>
      </c>
      <c r="O74" s="88">
        <v>0</v>
      </c>
    </row>
    <row r="75" spans="1:15" ht="12.75">
      <c r="A75" s="22" t="s">
        <v>154</v>
      </c>
      <c r="B75" s="22" t="s">
        <v>155</v>
      </c>
      <c r="C75" s="92">
        <f aca="true" t="shared" si="29" ref="C75:I75">C77</f>
        <v>42488</v>
      </c>
      <c r="D75" s="92">
        <f t="shared" si="29"/>
        <v>50000</v>
      </c>
      <c r="E75" s="92">
        <f t="shared" si="29"/>
        <v>49245</v>
      </c>
      <c r="F75" s="92">
        <f t="shared" si="29"/>
        <v>40000</v>
      </c>
      <c r="G75" s="92">
        <f t="shared" si="29"/>
        <v>50000</v>
      </c>
      <c r="H75" s="92">
        <f t="shared" si="29"/>
        <v>50000</v>
      </c>
      <c r="I75" s="92">
        <f t="shared" si="29"/>
        <v>50000</v>
      </c>
      <c r="J75" s="80">
        <f t="shared" si="22"/>
        <v>1.1768028619845603</v>
      </c>
      <c r="K75" s="80">
        <f t="shared" si="23"/>
        <v>1.1590331387685935</v>
      </c>
      <c r="L75" s="80">
        <f t="shared" si="28"/>
        <v>0.8122652045892984</v>
      </c>
      <c r="M75" s="72">
        <f t="shared" si="28"/>
        <v>1.25</v>
      </c>
      <c r="N75" s="72">
        <f t="shared" si="28"/>
        <v>1</v>
      </c>
      <c r="O75" s="72">
        <f t="shared" si="28"/>
        <v>1</v>
      </c>
    </row>
    <row r="76" spans="1:15" ht="12.75">
      <c r="A76" s="259"/>
      <c r="B76" s="21" t="s">
        <v>138</v>
      </c>
      <c r="C76" s="93"/>
      <c r="D76" s="93"/>
      <c r="E76" s="93"/>
      <c r="F76" s="93"/>
      <c r="G76" s="93"/>
      <c r="H76" s="93"/>
      <c r="I76" s="93"/>
      <c r="J76" s="88"/>
      <c r="K76" s="88"/>
      <c r="L76" s="88"/>
      <c r="M76" s="88"/>
      <c r="N76" s="88"/>
      <c r="O76" s="88"/>
    </row>
    <row r="77" spans="1:15" ht="25.5">
      <c r="A77" s="261"/>
      <c r="B77" s="21" t="s">
        <v>314</v>
      </c>
      <c r="C77" s="93">
        <v>42488</v>
      </c>
      <c r="D77" s="93">
        <v>50000</v>
      </c>
      <c r="E77" s="93">
        <v>49245</v>
      </c>
      <c r="F77" s="93">
        <v>40000</v>
      </c>
      <c r="G77" s="93">
        <f>'Pl. Dochodów'!G24</f>
        <v>50000</v>
      </c>
      <c r="H77" s="93">
        <f>'Pl. Dochodów'!H24</f>
        <v>50000</v>
      </c>
      <c r="I77" s="93">
        <f>'Pl. Dochodów'!I24</f>
        <v>50000</v>
      </c>
      <c r="J77" s="83">
        <f>D77/C77</f>
        <v>1.1768028619845603</v>
      </c>
      <c r="K77" s="83">
        <f>E77/C77</f>
        <v>1.1590331387685935</v>
      </c>
      <c r="L77" s="83">
        <f aca="true" t="shared" si="30" ref="L77:O78">F77/E77</f>
        <v>0.8122652045892984</v>
      </c>
      <c r="M77" s="88">
        <f t="shared" si="30"/>
        <v>1.25</v>
      </c>
      <c r="N77" s="88">
        <f t="shared" si="30"/>
        <v>1</v>
      </c>
      <c r="O77" s="88">
        <f t="shared" si="30"/>
        <v>1</v>
      </c>
    </row>
    <row r="78" spans="1:15" ht="12.75">
      <c r="A78" s="22" t="s">
        <v>156</v>
      </c>
      <c r="B78" s="22" t="s">
        <v>157</v>
      </c>
      <c r="C78" s="92">
        <f aca="true" t="shared" si="31" ref="C78:I78">C80+C82+C87+C88+C89+C91+C93</f>
        <v>1240401</v>
      </c>
      <c r="D78" s="92">
        <f t="shared" si="31"/>
        <v>1796110</v>
      </c>
      <c r="E78" s="92">
        <f t="shared" si="31"/>
        <v>1798592</v>
      </c>
      <c r="F78" s="92">
        <f t="shared" si="31"/>
        <v>2424991</v>
      </c>
      <c r="G78" s="92">
        <f t="shared" si="31"/>
        <v>2646900</v>
      </c>
      <c r="H78" s="92">
        <f t="shared" si="31"/>
        <v>2659900</v>
      </c>
      <c r="I78" s="92">
        <f t="shared" si="31"/>
        <v>2673900</v>
      </c>
      <c r="J78" s="80">
        <f>D78/C78</f>
        <v>1.4480075394973078</v>
      </c>
      <c r="K78" s="80">
        <f>E78/C78</f>
        <v>1.4500085053140073</v>
      </c>
      <c r="L78" s="80">
        <f t="shared" si="30"/>
        <v>1.3482718704408783</v>
      </c>
      <c r="M78" s="72">
        <f t="shared" si="30"/>
        <v>1.0915092056011755</v>
      </c>
      <c r="N78" s="72">
        <f t="shared" si="30"/>
        <v>1.004911405795459</v>
      </c>
      <c r="O78" s="72">
        <f t="shared" si="30"/>
        <v>1.0052633557652544</v>
      </c>
    </row>
    <row r="79" spans="1:15" ht="12.75">
      <c r="A79" s="259"/>
      <c r="B79" s="21" t="s">
        <v>138</v>
      </c>
      <c r="C79" s="93"/>
      <c r="D79" s="93"/>
      <c r="E79" s="93"/>
      <c r="F79" s="93"/>
      <c r="G79" s="93"/>
      <c r="H79" s="93"/>
      <c r="I79" s="93"/>
      <c r="J79" s="88"/>
      <c r="K79" s="88"/>
      <c r="L79" s="88"/>
      <c r="M79" s="88"/>
      <c r="N79" s="88"/>
      <c r="O79" s="88"/>
    </row>
    <row r="80" spans="1:15" ht="12.75">
      <c r="A80" s="260"/>
      <c r="B80" s="21" t="s">
        <v>315</v>
      </c>
      <c r="C80" s="93">
        <v>0</v>
      </c>
      <c r="D80" s="93">
        <v>1077154</v>
      </c>
      <c r="E80" s="93">
        <v>1076376</v>
      </c>
      <c r="F80" s="93">
        <v>1734300</v>
      </c>
      <c r="G80" s="93">
        <v>1900000</v>
      </c>
      <c r="H80" s="93">
        <v>1900000</v>
      </c>
      <c r="I80" s="93">
        <v>1900000</v>
      </c>
      <c r="J80" s="83">
        <v>0</v>
      </c>
      <c r="K80" s="83">
        <v>0</v>
      </c>
      <c r="L80" s="83">
        <f aca="true" t="shared" si="32" ref="L80:L86">F80/E80</f>
        <v>1.6112399384601663</v>
      </c>
      <c r="M80" s="88">
        <f aca="true" t="shared" si="33" ref="M80:M86">G80/F80</f>
        <v>1.0955428703223202</v>
      </c>
      <c r="N80" s="88">
        <f aca="true" t="shared" si="34" ref="N80:N86">H80/G80</f>
        <v>1</v>
      </c>
      <c r="O80" s="88">
        <f aca="true" t="shared" si="35" ref="O80:O86">I80/H80</f>
        <v>1</v>
      </c>
    </row>
    <row r="81" spans="1:15" ht="25.5">
      <c r="A81" s="260"/>
      <c r="B81" s="21" t="s">
        <v>167</v>
      </c>
      <c r="C81" s="93">
        <v>0</v>
      </c>
      <c r="D81" s="93">
        <v>47417</v>
      </c>
      <c r="E81" s="93">
        <v>47662</v>
      </c>
      <c r="F81" s="93">
        <v>69906</v>
      </c>
      <c r="G81" s="93">
        <v>73000</v>
      </c>
      <c r="H81" s="93">
        <v>73000</v>
      </c>
      <c r="I81" s="93">
        <v>73000</v>
      </c>
      <c r="J81" s="83">
        <v>0</v>
      </c>
      <c r="K81" s="83">
        <v>0</v>
      </c>
      <c r="L81" s="83">
        <f t="shared" si="32"/>
        <v>1.4667030338634552</v>
      </c>
      <c r="M81" s="88">
        <f t="shared" si="33"/>
        <v>1.0442594340972162</v>
      </c>
      <c r="N81" s="88">
        <f t="shared" si="34"/>
        <v>1</v>
      </c>
      <c r="O81" s="88">
        <f t="shared" si="35"/>
        <v>1</v>
      </c>
    </row>
    <row r="82" spans="1:15" ht="12.75">
      <c r="A82" s="260"/>
      <c r="B82" s="21" t="s">
        <v>316</v>
      </c>
      <c r="C82" s="93">
        <v>854235</v>
      </c>
      <c r="D82" s="93">
        <v>444084</v>
      </c>
      <c r="E82" s="93">
        <v>440185</v>
      </c>
      <c r="F82" s="93">
        <v>426000</v>
      </c>
      <c r="G82" s="93">
        <v>460000</v>
      </c>
      <c r="H82" s="93">
        <v>470000</v>
      </c>
      <c r="I82" s="93">
        <v>480000</v>
      </c>
      <c r="J82" s="83">
        <f aca="true" t="shared" si="36" ref="J82:J94">D82/C82</f>
        <v>0.5198616305817486</v>
      </c>
      <c r="K82" s="83">
        <f aca="true" t="shared" si="37" ref="K82:K94">E82/C82</f>
        <v>0.5152973128003419</v>
      </c>
      <c r="L82" s="83">
        <f t="shared" si="32"/>
        <v>0.9677749128207458</v>
      </c>
      <c r="M82" s="88">
        <f t="shared" si="33"/>
        <v>1.07981220657277</v>
      </c>
      <c r="N82" s="88">
        <f t="shared" si="34"/>
        <v>1.0217391304347827</v>
      </c>
      <c r="O82" s="88">
        <f t="shared" si="35"/>
        <v>1.0212765957446808</v>
      </c>
    </row>
    <row r="83" spans="1:15" ht="25.5">
      <c r="A83" s="260"/>
      <c r="B83" s="21" t="s">
        <v>167</v>
      </c>
      <c r="C83" s="93">
        <v>67984</v>
      </c>
      <c r="D83" s="93">
        <v>32216</v>
      </c>
      <c r="E83" s="93">
        <v>32216</v>
      </c>
      <c r="F83" s="93">
        <v>0</v>
      </c>
      <c r="G83" s="93">
        <v>0</v>
      </c>
      <c r="H83" s="93">
        <v>0</v>
      </c>
      <c r="I83" s="93">
        <v>0</v>
      </c>
      <c r="J83" s="83">
        <f t="shared" si="36"/>
        <v>0.4738762061661567</v>
      </c>
      <c r="K83" s="83">
        <f t="shared" si="37"/>
        <v>0.4738762061661567</v>
      </c>
      <c r="L83" s="83">
        <f t="shared" si="32"/>
        <v>0</v>
      </c>
      <c r="M83" s="88">
        <v>0</v>
      </c>
      <c r="N83" s="88">
        <v>0</v>
      </c>
      <c r="O83" s="88">
        <v>0</v>
      </c>
    </row>
    <row r="84" spans="1:15" ht="12.75">
      <c r="A84" s="260"/>
      <c r="B84" s="21" t="s">
        <v>170</v>
      </c>
      <c r="C84" s="93"/>
      <c r="D84" s="93"/>
      <c r="E84" s="93"/>
      <c r="F84" s="93"/>
      <c r="G84" s="93"/>
      <c r="H84" s="93"/>
      <c r="I84" s="93"/>
      <c r="J84" s="83">
        <v>0</v>
      </c>
      <c r="K84" s="83">
        <v>0</v>
      </c>
      <c r="L84" s="83">
        <v>0</v>
      </c>
      <c r="M84" s="88">
        <v>0</v>
      </c>
      <c r="N84" s="88">
        <v>0</v>
      </c>
      <c r="O84" s="88">
        <v>0</v>
      </c>
    </row>
    <row r="85" spans="1:15" ht="12.75">
      <c r="A85" s="260"/>
      <c r="B85" s="21" t="s">
        <v>173</v>
      </c>
      <c r="C85" s="93">
        <v>90322</v>
      </c>
      <c r="D85" s="93">
        <v>133000</v>
      </c>
      <c r="E85" s="93">
        <v>129101</v>
      </c>
      <c r="F85" s="93">
        <v>100000</v>
      </c>
      <c r="G85" s="93">
        <v>110000</v>
      </c>
      <c r="H85" s="93">
        <v>115000</v>
      </c>
      <c r="I85" s="93">
        <v>120000</v>
      </c>
      <c r="J85" s="83">
        <f t="shared" si="36"/>
        <v>1.4725094661322822</v>
      </c>
      <c r="K85" s="83">
        <f t="shared" si="37"/>
        <v>1.429341688625141</v>
      </c>
      <c r="L85" s="83">
        <f t="shared" si="32"/>
        <v>0.7745873385953633</v>
      </c>
      <c r="M85" s="88">
        <f t="shared" si="33"/>
        <v>1.1</v>
      </c>
      <c r="N85" s="88">
        <f t="shared" si="34"/>
        <v>1.0454545454545454</v>
      </c>
      <c r="O85" s="88">
        <f t="shared" si="35"/>
        <v>1.0434782608695652</v>
      </c>
    </row>
    <row r="86" spans="1:15" ht="12.75">
      <c r="A86" s="260"/>
      <c r="B86" s="21" t="s">
        <v>174</v>
      </c>
      <c r="C86" s="93">
        <v>763913</v>
      </c>
      <c r="D86" s="93">
        <v>306382</v>
      </c>
      <c r="E86" s="93">
        <v>306382</v>
      </c>
      <c r="F86" s="93">
        <v>326000</v>
      </c>
      <c r="G86" s="93">
        <f>G82-G85</f>
        <v>350000</v>
      </c>
      <c r="H86" s="93">
        <f>H82-H85</f>
        <v>355000</v>
      </c>
      <c r="I86" s="93">
        <f>I82-I85</f>
        <v>360000</v>
      </c>
      <c r="J86" s="83">
        <f t="shared" si="36"/>
        <v>0.4010692317057047</v>
      </c>
      <c r="K86" s="83">
        <f t="shared" si="37"/>
        <v>0.4010692317057047</v>
      </c>
      <c r="L86" s="83">
        <f t="shared" si="32"/>
        <v>1.0640311767662591</v>
      </c>
      <c r="M86" s="88">
        <f t="shared" si="33"/>
        <v>1.0736196319018405</v>
      </c>
      <c r="N86" s="88">
        <f t="shared" si="34"/>
        <v>1.0142857142857142</v>
      </c>
      <c r="O86" s="88">
        <f t="shared" si="35"/>
        <v>1.0140845070422535</v>
      </c>
    </row>
    <row r="87" spans="1:15" ht="12.75">
      <c r="A87" s="260"/>
      <c r="B87" s="21" t="s">
        <v>175</v>
      </c>
      <c r="C87" s="93">
        <v>92220</v>
      </c>
      <c r="D87" s="93">
        <v>46242</v>
      </c>
      <c r="E87" s="93">
        <v>46242</v>
      </c>
      <c r="F87" s="93">
        <v>0</v>
      </c>
      <c r="G87" s="93">
        <v>30000</v>
      </c>
      <c r="H87" s="93">
        <v>30000</v>
      </c>
      <c r="I87" s="93">
        <v>30000</v>
      </c>
      <c r="J87" s="83">
        <f t="shared" si="36"/>
        <v>0.5014313597918022</v>
      </c>
      <c r="K87" s="83">
        <f t="shared" si="37"/>
        <v>0.5014313597918022</v>
      </c>
      <c r="L87" s="83">
        <f aca="true" t="shared" si="38" ref="L87:O93">F87/E87</f>
        <v>0</v>
      </c>
      <c r="M87" s="88">
        <v>0</v>
      </c>
      <c r="N87" s="88">
        <f t="shared" si="38"/>
        <v>1</v>
      </c>
      <c r="O87" s="88">
        <f t="shared" si="38"/>
        <v>1</v>
      </c>
    </row>
    <row r="88" spans="1:15" ht="12.75">
      <c r="A88" s="262"/>
      <c r="B88" s="21" t="s">
        <v>176</v>
      </c>
      <c r="C88" s="93">
        <v>27327</v>
      </c>
      <c r="D88" s="93">
        <v>15000</v>
      </c>
      <c r="E88" s="93">
        <v>14974</v>
      </c>
      <c r="F88" s="93">
        <v>33651</v>
      </c>
      <c r="G88" s="93">
        <v>31000</v>
      </c>
      <c r="H88" s="93">
        <v>32000</v>
      </c>
      <c r="I88" s="93">
        <v>33000</v>
      </c>
      <c r="J88" s="83">
        <f t="shared" si="36"/>
        <v>0.5489076737292787</v>
      </c>
      <c r="K88" s="83">
        <f t="shared" si="37"/>
        <v>0.5479562337614813</v>
      </c>
      <c r="L88" s="83">
        <f t="shared" si="38"/>
        <v>2.247295311873915</v>
      </c>
      <c r="M88" s="88">
        <f t="shared" si="38"/>
        <v>0.9212207660990758</v>
      </c>
      <c r="N88" s="88">
        <f t="shared" si="38"/>
        <v>1.032258064516129</v>
      </c>
      <c r="O88" s="88">
        <f t="shared" si="38"/>
        <v>1.03125</v>
      </c>
    </row>
    <row r="89" spans="1:15" ht="12.75">
      <c r="A89" s="262"/>
      <c r="B89" s="21" t="s">
        <v>317</v>
      </c>
      <c r="C89" s="93">
        <v>131604</v>
      </c>
      <c r="D89" s="93">
        <v>105790</v>
      </c>
      <c r="E89" s="93">
        <v>105346</v>
      </c>
      <c r="F89" s="93">
        <v>103970</v>
      </c>
      <c r="G89" s="93">
        <v>103000</v>
      </c>
      <c r="H89" s="93">
        <v>104000</v>
      </c>
      <c r="I89" s="93">
        <v>106000</v>
      </c>
      <c r="J89" s="83">
        <f t="shared" si="36"/>
        <v>0.8038509467797331</v>
      </c>
      <c r="K89" s="83">
        <f t="shared" si="37"/>
        <v>0.8004771891431871</v>
      </c>
      <c r="L89" s="83">
        <f t="shared" si="38"/>
        <v>0.9869382795739753</v>
      </c>
      <c r="M89" s="88">
        <f t="shared" si="38"/>
        <v>0.9906703856881793</v>
      </c>
      <c r="N89" s="88">
        <f t="shared" si="38"/>
        <v>1.0097087378640777</v>
      </c>
      <c r="O89" s="88">
        <f t="shared" si="38"/>
        <v>1.0192307692307692</v>
      </c>
    </row>
    <row r="90" spans="1:15" ht="25.5">
      <c r="A90" s="262"/>
      <c r="B90" s="21" t="s">
        <v>167</v>
      </c>
      <c r="C90" s="93">
        <v>105250</v>
      </c>
      <c r="D90" s="93">
        <v>95660</v>
      </c>
      <c r="E90" s="93">
        <v>94046</v>
      </c>
      <c r="F90" s="93">
        <v>86408</v>
      </c>
      <c r="G90" s="93">
        <v>87000</v>
      </c>
      <c r="H90" s="93">
        <v>87000</v>
      </c>
      <c r="I90" s="93">
        <v>87000</v>
      </c>
      <c r="J90" s="83">
        <f t="shared" si="36"/>
        <v>0.9088836104513064</v>
      </c>
      <c r="K90" s="83">
        <f t="shared" si="37"/>
        <v>0.8935486935866983</v>
      </c>
      <c r="L90" s="83">
        <f t="shared" si="38"/>
        <v>0.9187844246432597</v>
      </c>
      <c r="M90" s="88">
        <f t="shared" si="38"/>
        <v>1.006851217479863</v>
      </c>
      <c r="N90" s="88">
        <f t="shared" si="38"/>
        <v>1</v>
      </c>
      <c r="O90" s="88">
        <f t="shared" si="38"/>
        <v>1</v>
      </c>
    </row>
    <row r="91" spans="1:15" ht="12.75">
      <c r="A91" s="262"/>
      <c r="B91" s="21" t="s">
        <v>318</v>
      </c>
      <c r="C91" s="93">
        <v>108556</v>
      </c>
      <c r="D91" s="93">
        <v>94600</v>
      </c>
      <c r="E91" s="93">
        <v>102720</v>
      </c>
      <c r="F91" s="93">
        <v>105170</v>
      </c>
      <c r="G91" s="93">
        <v>101000</v>
      </c>
      <c r="H91" s="93">
        <v>102000</v>
      </c>
      <c r="I91" s="93">
        <v>103000</v>
      </c>
      <c r="J91" s="83">
        <f t="shared" si="36"/>
        <v>0.8714396256310107</v>
      </c>
      <c r="K91" s="83">
        <f t="shared" si="37"/>
        <v>0.9462397288035668</v>
      </c>
      <c r="L91" s="83">
        <f t="shared" si="38"/>
        <v>1.023851246105919</v>
      </c>
      <c r="M91" s="88">
        <f t="shared" si="38"/>
        <v>0.960349909670058</v>
      </c>
      <c r="N91" s="88">
        <f t="shared" si="38"/>
        <v>1.00990099009901</v>
      </c>
      <c r="O91" s="88">
        <f t="shared" si="38"/>
        <v>1.0098039215686274</v>
      </c>
    </row>
    <row r="92" spans="1:15" ht="25.5">
      <c r="A92" s="262"/>
      <c r="B92" s="21" t="s">
        <v>167</v>
      </c>
      <c r="C92" s="93">
        <v>80613</v>
      </c>
      <c r="D92" s="93">
        <v>72472</v>
      </c>
      <c r="E92" s="93">
        <v>74174</v>
      </c>
      <c r="F92" s="93">
        <v>64200</v>
      </c>
      <c r="G92" s="93">
        <v>65000</v>
      </c>
      <c r="H92" s="93">
        <v>65000</v>
      </c>
      <c r="I92" s="93">
        <v>65000</v>
      </c>
      <c r="J92" s="83">
        <f t="shared" si="36"/>
        <v>0.8990113257166958</v>
      </c>
      <c r="K92" s="83">
        <f t="shared" si="37"/>
        <v>0.9201245456688127</v>
      </c>
      <c r="L92" s="83">
        <f t="shared" si="38"/>
        <v>0.8655323967967212</v>
      </c>
      <c r="M92" s="88">
        <f t="shared" si="38"/>
        <v>1.0124610591900312</v>
      </c>
      <c r="N92" s="88">
        <f t="shared" si="38"/>
        <v>1</v>
      </c>
      <c r="O92" s="88">
        <f t="shared" si="38"/>
        <v>1</v>
      </c>
    </row>
    <row r="93" spans="1:15" ht="12.75">
      <c r="A93" s="262"/>
      <c r="B93" s="21" t="s">
        <v>177</v>
      </c>
      <c r="C93" s="93">
        <v>26459</v>
      </c>
      <c r="D93" s="93">
        <v>13240</v>
      </c>
      <c r="E93" s="93">
        <v>12749</v>
      </c>
      <c r="F93" s="93">
        <v>21900</v>
      </c>
      <c r="G93" s="93">
        <v>21900</v>
      </c>
      <c r="H93" s="93">
        <v>21900</v>
      </c>
      <c r="I93" s="93">
        <v>21900</v>
      </c>
      <c r="J93" s="83">
        <f t="shared" si="36"/>
        <v>0.5003968403945728</v>
      </c>
      <c r="K93" s="83">
        <f t="shared" si="37"/>
        <v>0.4818398276578858</v>
      </c>
      <c r="L93" s="83">
        <f t="shared" si="38"/>
        <v>1.7177817868068084</v>
      </c>
      <c r="M93" s="88">
        <f t="shared" si="38"/>
        <v>1</v>
      </c>
      <c r="N93" s="88">
        <f t="shared" si="38"/>
        <v>1</v>
      </c>
      <c r="O93" s="88">
        <f t="shared" si="38"/>
        <v>1</v>
      </c>
    </row>
    <row r="94" spans="1:15" ht="25.5">
      <c r="A94" s="22" t="s">
        <v>158</v>
      </c>
      <c r="B94" s="22" t="s">
        <v>159</v>
      </c>
      <c r="C94" s="92">
        <f aca="true" t="shared" si="39" ref="C94:I94">C96</f>
        <v>16282</v>
      </c>
      <c r="D94" s="92">
        <f t="shared" si="39"/>
        <v>0</v>
      </c>
      <c r="E94" s="92">
        <f t="shared" si="39"/>
        <v>0</v>
      </c>
      <c r="F94" s="92">
        <f t="shared" si="39"/>
        <v>0</v>
      </c>
      <c r="G94" s="92">
        <f t="shared" si="39"/>
        <v>0</v>
      </c>
      <c r="H94" s="92">
        <f t="shared" si="39"/>
        <v>0</v>
      </c>
      <c r="I94" s="92">
        <f t="shared" si="39"/>
        <v>0</v>
      </c>
      <c r="J94" s="80">
        <f t="shared" si="36"/>
        <v>0</v>
      </c>
      <c r="K94" s="80">
        <f t="shared" si="37"/>
        <v>0</v>
      </c>
      <c r="L94" s="80">
        <v>0</v>
      </c>
      <c r="M94" s="72">
        <v>0</v>
      </c>
      <c r="N94" s="72">
        <v>0</v>
      </c>
      <c r="O94" s="72">
        <v>0</v>
      </c>
    </row>
    <row r="95" spans="1:15" ht="12.75">
      <c r="A95" s="259"/>
      <c r="B95" s="21" t="s">
        <v>138</v>
      </c>
      <c r="C95" s="93"/>
      <c r="D95" s="93"/>
      <c r="E95" s="93"/>
      <c r="F95" s="93"/>
      <c r="G95" s="93"/>
      <c r="H95" s="93"/>
      <c r="I95" s="93"/>
      <c r="J95" s="88"/>
      <c r="K95" s="88"/>
      <c r="L95" s="88"/>
      <c r="M95" s="88"/>
      <c r="N95" s="88"/>
      <c r="O95" s="88"/>
    </row>
    <row r="96" spans="1:15" ht="12.75">
      <c r="A96" s="260"/>
      <c r="B96" s="21" t="s">
        <v>319</v>
      </c>
      <c r="C96" s="93">
        <v>16282</v>
      </c>
      <c r="D96" s="93"/>
      <c r="E96" s="93"/>
      <c r="F96" s="93">
        <v>0</v>
      </c>
      <c r="G96" s="93">
        <v>0</v>
      </c>
      <c r="H96" s="93">
        <v>0</v>
      </c>
      <c r="I96" s="93">
        <v>0</v>
      </c>
      <c r="J96" s="83">
        <f>D96/C96</f>
        <v>0</v>
      </c>
      <c r="K96" s="83">
        <f>E96/C96</f>
        <v>0</v>
      </c>
      <c r="L96" s="83">
        <v>0</v>
      </c>
      <c r="M96" s="88">
        <v>0</v>
      </c>
      <c r="N96" s="88">
        <v>0</v>
      </c>
      <c r="O96" s="88">
        <v>0</v>
      </c>
    </row>
    <row r="97" spans="1:15" ht="25.5">
      <c r="A97" s="22" t="s">
        <v>160</v>
      </c>
      <c r="B97" s="22" t="s">
        <v>161</v>
      </c>
      <c r="C97" s="92">
        <f aca="true" t="shared" si="40" ref="C97:I97">C99+C100+C101+C102+C103+C104+C105</f>
        <v>5538896</v>
      </c>
      <c r="D97" s="92">
        <f t="shared" si="40"/>
        <v>288681</v>
      </c>
      <c r="E97" s="92">
        <f t="shared" si="40"/>
        <v>371528</v>
      </c>
      <c r="F97" s="92">
        <f t="shared" si="40"/>
        <v>2004342</v>
      </c>
      <c r="G97" s="92">
        <f t="shared" si="40"/>
        <v>618319</v>
      </c>
      <c r="H97" s="92">
        <f t="shared" si="40"/>
        <v>285000</v>
      </c>
      <c r="I97" s="92">
        <f t="shared" si="40"/>
        <v>300000</v>
      </c>
      <c r="J97" s="80">
        <f>D97/C97</f>
        <v>0.052118869897539145</v>
      </c>
      <c r="K97" s="80">
        <f>E97/C97</f>
        <v>0.06707618269055783</v>
      </c>
      <c r="L97" s="80">
        <f>F97/E97</f>
        <v>5.39486122176525</v>
      </c>
      <c r="M97" s="72">
        <f>G97/F97</f>
        <v>0.30848976871212597</v>
      </c>
      <c r="N97" s="72">
        <f>H97/G97</f>
        <v>0.46092712661263846</v>
      </c>
      <c r="O97" s="72">
        <f>I97/H97</f>
        <v>1.0526315789473684</v>
      </c>
    </row>
    <row r="98" spans="1:15" ht="12.75">
      <c r="A98" s="259"/>
      <c r="B98" s="21" t="s">
        <v>138</v>
      </c>
      <c r="C98" s="93"/>
      <c r="D98" s="93"/>
      <c r="E98" s="93"/>
      <c r="F98" s="93"/>
      <c r="G98" s="93"/>
      <c r="H98" s="93"/>
      <c r="I98" s="93"/>
      <c r="J98" s="88"/>
      <c r="K98" s="88"/>
      <c r="L98" s="88"/>
      <c r="M98" s="88"/>
      <c r="N98" s="88"/>
      <c r="O98" s="88"/>
    </row>
    <row r="99" spans="1:15" ht="25.5">
      <c r="A99" s="260"/>
      <c r="B99" s="21" t="s">
        <v>320</v>
      </c>
      <c r="C99" s="93">
        <v>13329</v>
      </c>
      <c r="D99" s="93">
        <v>0</v>
      </c>
      <c r="E99" s="93">
        <v>0</v>
      </c>
      <c r="F99" s="93">
        <v>110000</v>
      </c>
      <c r="G99" s="93">
        <v>120000</v>
      </c>
      <c r="H99" s="93">
        <v>130000</v>
      </c>
      <c r="I99" s="93">
        <v>135000</v>
      </c>
      <c r="J99" s="83">
        <f aca="true" t="shared" si="41" ref="J99:J106">D99/C99</f>
        <v>0</v>
      </c>
      <c r="K99" s="83">
        <f aca="true" t="shared" si="42" ref="K99:K106">E99/C99</f>
        <v>0</v>
      </c>
      <c r="L99" s="83">
        <v>0</v>
      </c>
      <c r="M99" s="88">
        <f>G99/F99</f>
        <v>1.0909090909090908</v>
      </c>
      <c r="N99" s="88">
        <f>H99/G99</f>
        <v>1.0833333333333333</v>
      </c>
      <c r="O99" s="88">
        <f>I99/H99</f>
        <v>1.0384615384615385</v>
      </c>
    </row>
    <row r="100" spans="1:15" ht="25.5">
      <c r="A100" s="260"/>
      <c r="B100" s="21" t="s">
        <v>452</v>
      </c>
      <c r="C100" s="93">
        <v>5409202</v>
      </c>
      <c r="D100" s="93">
        <v>247149</v>
      </c>
      <c r="E100" s="93">
        <v>308346</v>
      </c>
      <c r="F100" s="93">
        <v>758342</v>
      </c>
      <c r="G100" s="93">
        <v>351319</v>
      </c>
      <c r="H100" s="93">
        <v>0</v>
      </c>
      <c r="I100" s="93">
        <v>0</v>
      </c>
      <c r="J100" s="83">
        <f t="shared" si="41"/>
        <v>0.045690473382210536</v>
      </c>
      <c r="K100" s="83">
        <f t="shared" si="42"/>
        <v>0.057003972120102005</v>
      </c>
      <c r="L100" s="83">
        <f>F100/E100</f>
        <v>2.459386533309983</v>
      </c>
      <c r="M100" s="88">
        <f>G100/F100</f>
        <v>0.46327250765485756</v>
      </c>
      <c r="N100" s="88">
        <v>0</v>
      </c>
      <c r="O100" s="88">
        <v>0</v>
      </c>
    </row>
    <row r="101" spans="1:15" ht="25.5">
      <c r="A101" s="260"/>
      <c r="B101" s="21" t="s">
        <v>323</v>
      </c>
      <c r="C101" s="93">
        <v>29808</v>
      </c>
      <c r="D101" s="93"/>
      <c r="E101" s="93"/>
      <c r="F101" s="93">
        <v>0</v>
      </c>
      <c r="G101" s="93">
        <v>0</v>
      </c>
      <c r="H101" s="93">
        <v>0</v>
      </c>
      <c r="I101" s="93">
        <v>0</v>
      </c>
      <c r="J101" s="83">
        <f t="shared" si="41"/>
        <v>0</v>
      </c>
      <c r="K101" s="83">
        <f t="shared" si="42"/>
        <v>0</v>
      </c>
      <c r="L101" s="83">
        <v>0</v>
      </c>
      <c r="M101" s="88">
        <v>0</v>
      </c>
      <c r="N101" s="88">
        <v>0</v>
      </c>
      <c r="O101" s="88">
        <v>0</v>
      </c>
    </row>
    <row r="102" spans="1:15" ht="12.75">
      <c r="A102" s="260"/>
      <c r="B102" s="21" t="s">
        <v>322</v>
      </c>
      <c r="C102" s="93">
        <v>71015</v>
      </c>
      <c r="D102" s="93">
        <v>24200</v>
      </c>
      <c r="E102" s="93">
        <v>46428</v>
      </c>
      <c r="F102" s="93">
        <v>80000</v>
      </c>
      <c r="G102" s="93">
        <v>85000</v>
      </c>
      <c r="H102" s="93">
        <v>90000</v>
      </c>
      <c r="I102" s="93">
        <v>95000</v>
      </c>
      <c r="J102" s="83">
        <f t="shared" si="41"/>
        <v>0.34077307611068086</v>
      </c>
      <c r="K102" s="83">
        <f t="shared" si="42"/>
        <v>0.6537773709779624</v>
      </c>
      <c r="L102" s="83">
        <f>F102/E102</f>
        <v>1.7230981304385284</v>
      </c>
      <c r="M102" s="88">
        <f>G102/F102</f>
        <v>1.0625</v>
      </c>
      <c r="N102" s="88">
        <f>H102/G102</f>
        <v>1.0588235294117647</v>
      </c>
      <c r="O102" s="88">
        <f>I102/H102</f>
        <v>1.0555555555555556</v>
      </c>
    </row>
    <row r="103" spans="1:15" ht="12.75">
      <c r="A103" s="262"/>
      <c r="B103" s="21" t="s">
        <v>321</v>
      </c>
      <c r="C103" s="93">
        <v>15542</v>
      </c>
      <c r="D103" s="93">
        <v>14000</v>
      </c>
      <c r="E103" s="93">
        <v>13954</v>
      </c>
      <c r="F103" s="93">
        <v>51000</v>
      </c>
      <c r="G103" s="93">
        <v>57000</v>
      </c>
      <c r="H103" s="93">
        <v>60000</v>
      </c>
      <c r="I103" s="93">
        <v>65000</v>
      </c>
      <c r="J103" s="83">
        <f t="shared" si="41"/>
        <v>0.9007849697593617</v>
      </c>
      <c r="K103" s="83">
        <f t="shared" si="42"/>
        <v>0.8978252477158667</v>
      </c>
      <c r="L103" s="83">
        <f aca="true" t="shared" si="43" ref="L103:O104">F103/E103</f>
        <v>3.6548659882470975</v>
      </c>
      <c r="M103" s="88">
        <f t="shared" si="43"/>
        <v>1.1176470588235294</v>
      </c>
      <c r="N103" s="88">
        <f t="shared" si="43"/>
        <v>1.0526315789473684</v>
      </c>
      <c r="O103" s="88">
        <f t="shared" si="43"/>
        <v>1.0833333333333333</v>
      </c>
    </row>
    <row r="104" spans="1:15" ht="25.5">
      <c r="A104" s="262"/>
      <c r="B104" s="21" t="s">
        <v>453</v>
      </c>
      <c r="C104" s="93"/>
      <c r="D104" s="93">
        <v>3332</v>
      </c>
      <c r="E104" s="93">
        <v>2800</v>
      </c>
      <c r="F104" s="93">
        <v>5000</v>
      </c>
      <c r="G104" s="93">
        <f>'Pl. Dochodów'!G36</f>
        <v>5000</v>
      </c>
      <c r="H104" s="93">
        <f>'Pl. Dochodów'!H36</f>
        <v>5000</v>
      </c>
      <c r="I104" s="93">
        <f>'Pl. Dochodów'!I36</f>
        <v>5000</v>
      </c>
      <c r="J104" s="83">
        <v>0</v>
      </c>
      <c r="K104" s="83">
        <v>0</v>
      </c>
      <c r="L104" s="83">
        <f t="shared" si="43"/>
        <v>1.7857142857142858</v>
      </c>
      <c r="M104" s="88">
        <f t="shared" si="43"/>
        <v>1</v>
      </c>
      <c r="N104" s="88">
        <f t="shared" si="43"/>
        <v>1</v>
      </c>
      <c r="O104" s="88">
        <f t="shared" si="43"/>
        <v>1</v>
      </c>
    </row>
    <row r="105" spans="1:15" ht="29.25" customHeight="1">
      <c r="A105" s="263"/>
      <c r="B105" s="21" t="s">
        <v>451</v>
      </c>
      <c r="C105" s="93"/>
      <c r="D105" s="93"/>
      <c r="E105" s="93"/>
      <c r="F105" s="93">
        <v>1000000</v>
      </c>
      <c r="G105" s="93"/>
      <c r="H105" s="93"/>
      <c r="I105" s="93"/>
      <c r="J105" s="83">
        <v>0</v>
      </c>
      <c r="K105" s="83">
        <v>0</v>
      </c>
      <c r="L105" s="83">
        <v>0</v>
      </c>
      <c r="M105" s="88">
        <v>0</v>
      </c>
      <c r="N105" s="88">
        <v>0</v>
      </c>
      <c r="O105" s="88">
        <v>0</v>
      </c>
    </row>
    <row r="106" spans="1:15" ht="25.5">
      <c r="A106" s="22" t="s">
        <v>162</v>
      </c>
      <c r="B106" s="22" t="s">
        <v>163</v>
      </c>
      <c r="C106" s="92">
        <f aca="true" t="shared" si="44" ref="C106:I106">C108+C109</f>
        <v>310000</v>
      </c>
      <c r="D106" s="92">
        <f t="shared" si="44"/>
        <v>206000</v>
      </c>
      <c r="E106" s="92">
        <f t="shared" si="44"/>
        <v>206000</v>
      </c>
      <c r="F106" s="92">
        <f t="shared" si="44"/>
        <v>250000</v>
      </c>
      <c r="G106" s="92">
        <f t="shared" si="44"/>
        <v>230000</v>
      </c>
      <c r="H106" s="92">
        <f t="shared" si="44"/>
        <v>230000</v>
      </c>
      <c r="I106" s="92">
        <f t="shared" si="44"/>
        <v>230000</v>
      </c>
      <c r="J106" s="80">
        <f t="shared" si="41"/>
        <v>0.6645161290322581</v>
      </c>
      <c r="K106" s="80">
        <f t="shared" si="42"/>
        <v>0.6645161290322581</v>
      </c>
      <c r="L106" s="80">
        <f>F106/E106</f>
        <v>1.2135922330097086</v>
      </c>
      <c r="M106" s="72">
        <f>G106/F106</f>
        <v>0.92</v>
      </c>
      <c r="N106" s="72">
        <f>H106/G106</f>
        <v>1</v>
      </c>
      <c r="O106" s="72">
        <f>I106/H106</f>
        <v>1</v>
      </c>
    </row>
    <row r="107" spans="1:15" ht="12.75">
      <c r="A107" s="259"/>
      <c r="B107" s="21" t="s">
        <v>138</v>
      </c>
      <c r="C107" s="93"/>
      <c r="D107" s="93"/>
      <c r="E107" s="93"/>
      <c r="F107" s="93"/>
      <c r="G107" s="93"/>
      <c r="H107" s="93"/>
      <c r="I107" s="93"/>
      <c r="J107" s="88"/>
      <c r="K107" s="88"/>
      <c r="L107" s="88"/>
      <c r="M107" s="88"/>
      <c r="N107" s="88"/>
      <c r="O107" s="88"/>
    </row>
    <row r="108" spans="1:15" ht="12.75">
      <c r="A108" s="260"/>
      <c r="B108" s="21" t="s">
        <v>324</v>
      </c>
      <c r="C108" s="93">
        <v>290000</v>
      </c>
      <c r="D108" s="93">
        <v>203000</v>
      </c>
      <c r="E108" s="93">
        <v>203000</v>
      </c>
      <c r="F108" s="93">
        <v>250000</v>
      </c>
      <c r="G108" s="93">
        <v>230000</v>
      </c>
      <c r="H108" s="93">
        <v>230000</v>
      </c>
      <c r="I108" s="93">
        <v>230000</v>
      </c>
      <c r="J108" s="83">
        <f>D108/C108</f>
        <v>0.7</v>
      </c>
      <c r="K108" s="83">
        <f>E108/C108</f>
        <v>0.7</v>
      </c>
      <c r="L108" s="83">
        <f>F108/E108</f>
        <v>1.2315270935960592</v>
      </c>
      <c r="M108" s="88">
        <f>G108/F108</f>
        <v>0.92</v>
      </c>
      <c r="N108" s="88">
        <f>H108/G108</f>
        <v>1</v>
      </c>
      <c r="O108" s="88">
        <f>I108/H108</f>
        <v>1</v>
      </c>
    </row>
    <row r="109" spans="1:15" ht="38.25">
      <c r="A109" s="261"/>
      <c r="B109" s="21" t="s">
        <v>325</v>
      </c>
      <c r="C109" s="93">
        <v>20000</v>
      </c>
      <c r="D109" s="93">
        <v>3000</v>
      </c>
      <c r="E109" s="93">
        <v>3000</v>
      </c>
      <c r="F109" s="93">
        <v>0</v>
      </c>
      <c r="G109" s="93">
        <v>0</v>
      </c>
      <c r="H109" s="93">
        <v>0</v>
      </c>
      <c r="I109" s="93">
        <v>0</v>
      </c>
      <c r="J109" s="83">
        <f>D109/C109</f>
        <v>0.15</v>
      </c>
      <c r="K109" s="83">
        <f>E109/C109</f>
        <v>0.15</v>
      </c>
      <c r="L109" s="83">
        <f aca="true" t="shared" si="45" ref="L109:O110">F109/E109</f>
        <v>0</v>
      </c>
      <c r="M109" s="88">
        <v>0</v>
      </c>
      <c r="N109" s="88">
        <v>0</v>
      </c>
      <c r="O109" s="88">
        <v>0</v>
      </c>
    </row>
    <row r="110" spans="1:15" ht="12.75">
      <c r="A110" s="22" t="s">
        <v>164</v>
      </c>
      <c r="B110" s="22" t="s">
        <v>165</v>
      </c>
      <c r="C110" s="92">
        <f aca="true" t="shared" si="46" ref="C110:I110">C112+C113</f>
        <v>94104</v>
      </c>
      <c r="D110" s="92">
        <f t="shared" si="46"/>
        <v>6830</v>
      </c>
      <c r="E110" s="92">
        <f t="shared" si="46"/>
        <v>7118</v>
      </c>
      <c r="F110" s="92">
        <f t="shared" si="46"/>
        <v>40000</v>
      </c>
      <c r="G110" s="92">
        <f t="shared" si="46"/>
        <v>42000</v>
      </c>
      <c r="H110" s="92">
        <f t="shared" si="46"/>
        <v>43000</v>
      </c>
      <c r="I110" s="92">
        <f t="shared" si="46"/>
        <v>44000</v>
      </c>
      <c r="J110" s="80">
        <f>D110/C110</f>
        <v>0.07257927399472923</v>
      </c>
      <c r="K110" s="80">
        <f>E110/C110</f>
        <v>0.07563971775907506</v>
      </c>
      <c r="L110" s="80">
        <f t="shared" si="45"/>
        <v>5.61955605507165</v>
      </c>
      <c r="M110" s="72">
        <f t="shared" si="45"/>
        <v>1.05</v>
      </c>
      <c r="N110" s="72">
        <f t="shared" si="45"/>
        <v>1.0238095238095237</v>
      </c>
      <c r="O110" s="72">
        <f t="shared" si="45"/>
        <v>1.0232558139534884</v>
      </c>
    </row>
    <row r="111" spans="1:15" ht="12.75">
      <c r="A111" s="259"/>
      <c r="B111" s="21" t="s">
        <v>138</v>
      </c>
      <c r="C111" s="93"/>
      <c r="D111" s="93"/>
      <c r="E111" s="93"/>
      <c r="F111" s="93"/>
      <c r="G111" s="93"/>
      <c r="H111" s="93"/>
      <c r="I111" s="93"/>
      <c r="J111" s="88"/>
      <c r="K111" s="88"/>
      <c r="L111" s="88"/>
      <c r="M111" s="88"/>
      <c r="N111" s="88"/>
      <c r="O111" s="88"/>
    </row>
    <row r="112" spans="1:15" ht="25.5">
      <c r="A112" s="260"/>
      <c r="B112" s="21" t="s">
        <v>326</v>
      </c>
      <c r="C112" s="93">
        <v>64000</v>
      </c>
      <c r="D112" s="93"/>
      <c r="E112" s="93"/>
      <c r="F112" s="93">
        <v>0</v>
      </c>
      <c r="G112" s="93">
        <v>0</v>
      </c>
      <c r="H112" s="93">
        <v>0</v>
      </c>
      <c r="I112" s="93">
        <v>0</v>
      </c>
      <c r="J112" s="83">
        <f>D112/C112</f>
        <v>0</v>
      </c>
      <c r="K112" s="83">
        <f>E112/C112</f>
        <v>0</v>
      </c>
      <c r="L112" s="83">
        <v>0</v>
      </c>
      <c r="M112" s="88">
        <v>0</v>
      </c>
      <c r="N112" s="88">
        <v>0</v>
      </c>
      <c r="O112" s="88">
        <v>0</v>
      </c>
    </row>
    <row r="113" spans="1:15" ht="25.5">
      <c r="A113" s="261"/>
      <c r="B113" s="21" t="s">
        <v>327</v>
      </c>
      <c r="C113" s="93">
        <v>30104</v>
      </c>
      <c r="D113" s="93">
        <v>6830</v>
      </c>
      <c r="E113" s="93">
        <v>7118</v>
      </c>
      <c r="F113" s="93">
        <v>40000</v>
      </c>
      <c r="G113" s="93">
        <v>42000</v>
      </c>
      <c r="H113" s="93">
        <v>43000</v>
      </c>
      <c r="I113" s="93">
        <v>44000</v>
      </c>
      <c r="J113" s="83">
        <f>D113/C113</f>
        <v>0.2268801488174329</v>
      </c>
      <c r="K113" s="83">
        <f>E113/C113</f>
        <v>0.23644698378952964</v>
      </c>
      <c r="L113" s="83">
        <f>F113/E113</f>
        <v>5.61955605507165</v>
      </c>
      <c r="M113" s="88">
        <f>G113/F113</f>
        <v>1.05</v>
      </c>
      <c r="N113" s="88">
        <f>H113/G113</f>
        <v>1.0238095238095237</v>
      </c>
      <c r="O113" s="88">
        <f>I113/H113</f>
        <v>1.0232558139534884</v>
      </c>
    </row>
    <row r="114" spans="1:15" ht="13.5" thickBot="1">
      <c r="A114" s="28"/>
      <c r="B114" s="28"/>
      <c r="C114" s="95"/>
      <c r="D114" s="95"/>
      <c r="E114" s="95"/>
      <c r="F114" s="95"/>
      <c r="G114" s="95"/>
      <c r="H114" s="95"/>
      <c r="I114" s="95"/>
      <c r="J114" s="122"/>
      <c r="K114" s="122"/>
      <c r="L114" s="122"/>
      <c r="M114" s="122"/>
      <c r="N114" s="122"/>
      <c r="O114" s="122"/>
    </row>
    <row r="115" spans="1:15" ht="16.5" customHeight="1" thickBot="1">
      <c r="A115" s="1"/>
      <c r="B115" s="98" t="s">
        <v>34</v>
      </c>
      <c r="C115" s="101">
        <f aca="true" t="shared" si="47" ref="C115:I115">C7+C11+C14+C17+C20+C24+C27+C35+C39+C45+C49+C52+C59+C75+C78+C94+C97+C106+C110</f>
        <v>14830421</v>
      </c>
      <c r="D115" s="101">
        <f t="shared" si="47"/>
        <v>9633167</v>
      </c>
      <c r="E115" s="101">
        <f t="shared" si="47"/>
        <v>8894387</v>
      </c>
      <c r="F115" s="101">
        <f t="shared" si="47"/>
        <v>14386400</v>
      </c>
      <c r="G115" s="101">
        <f t="shared" si="47"/>
        <v>9721458</v>
      </c>
      <c r="H115" s="101">
        <f t="shared" si="47"/>
        <v>9534945</v>
      </c>
      <c r="I115" s="101">
        <f t="shared" si="47"/>
        <v>9692859</v>
      </c>
      <c r="J115" s="123">
        <f>D115/C115</f>
        <v>0.6495545204010055</v>
      </c>
      <c r="K115" s="123">
        <f>E115/C115</f>
        <v>0.5997393465768773</v>
      </c>
      <c r="L115" s="123">
        <f>F115/E115</f>
        <v>1.6174695344378427</v>
      </c>
      <c r="M115" s="124">
        <f>G115/F115</f>
        <v>0.675739448367903</v>
      </c>
      <c r="N115" s="124">
        <f>H115/G115</f>
        <v>0.9808142976084452</v>
      </c>
      <c r="O115" s="124">
        <f>I115/H115</f>
        <v>1.0165616057565094</v>
      </c>
    </row>
    <row r="116" spans="1:15" ht="13.5" thickBot="1">
      <c r="A116" s="1"/>
      <c r="B116" s="99" t="s">
        <v>138</v>
      </c>
      <c r="C116" s="27"/>
      <c r="D116" s="27"/>
      <c r="E116" s="27"/>
      <c r="F116" s="27"/>
      <c r="G116" s="27"/>
      <c r="H116" s="27"/>
      <c r="I116" s="27"/>
      <c r="J116" s="125"/>
      <c r="K116" s="125"/>
      <c r="L116" s="125"/>
      <c r="M116" s="125"/>
      <c r="N116" s="125"/>
      <c r="O116" s="125"/>
    </row>
    <row r="117" spans="1:15" ht="14.25" thickBot="1" thickTop="1">
      <c r="A117" s="1"/>
      <c r="B117" s="24" t="s">
        <v>134</v>
      </c>
      <c r="C117" s="102">
        <f aca="true" t="shared" si="48" ref="C117:I117">C115-C121</f>
        <v>9054704</v>
      </c>
      <c r="D117" s="102">
        <f t="shared" si="48"/>
        <v>9296418</v>
      </c>
      <c r="E117" s="102">
        <f t="shared" si="48"/>
        <v>8419454</v>
      </c>
      <c r="F117" s="102">
        <f t="shared" si="48"/>
        <v>12606258</v>
      </c>
      <c r="G117" s="102">
        <f t="shared" si="48"/>
        <v>8818820</v>
      </c>
      <c r="H117" s="102">
        <f t="shared" si="48"/>
        <v>9326725</v>
      </c>
      <c r="I117" s="102">
        <f t="shared" si="48"/>
        <v>9530228</v>
      </c>
      <c r="J117" s="123">
        <f>D117/C117</f>
        <v>1.0266948538571774</v>
      </c>
      <c r="K117" s="123">
        <f>E117/C117</f>
        <v>0.9298430959200875</v>
      </c>
      <c r="L117" s="123">
        <f aca="true" t="shared" si="49" ref="L117:O121">F117/E117</f>
        <v>1.4972773768940362</v>
      </c>
      <c r="M117" s="124">
        <f t="shared" si="49"/>
        <v>0.6995589016185453</v>
      </c>
      <c r="N117" s="124">
        <f t="shared" si="49"/>
        <v>1.0575933061339273</v>
      </c>
      <c r="O117" s="124">
        <f t="shared" si="49"/>
        <v>1.02181934173035</v>
      </c>
    </row>
    <row r="118" spans="1:15" ht="26.25" thickBot="1">
      <c r="A118" s="1"/>
      <c r="B118" s="25" t="s">
        <v>167</v>
      </c>
      <c r="C118" s="103">
        <f aca="true" t="shared" si="50" ref="C118:I118">C30+C31+C47+C62+C64+C66+C68+C70+C81+C83+C90+C92</f>
        <v>5140190</v>
      </c>
      <c r="D118" s="103">
        <f t="shared" si="50"/>
        <v>5681326</v>
      </c>
      <c r="E118" s="103">
        <f t="shared" si="50"/>
        <v>4630761</v>
      </c>
      <c r="F118" s="103">
        <f t="shared" si="50"/>
        <v>6451274</v>
      </c>
      <c r="G118" s="103">
        <f t="shared" si="50"/>
        <v>4752440</v>
      </c>
      <c r="H118" s="103">
        <f t="shared" si="50"/>
        <v>4815260</v>
      </c>
      <c r="I118" s="103">
        <f t="shared" si="50"/>
        <v>4835260</v>
      </c>
      <c r="J118" s="123">
        <f>D118/C118</f>
        <v>1.1052754859256175</v>
      </c>
      <c r="K118" s="123">
        <f>E118/C118</f>
        <v>0.9008929631005858</v>
      </c>
      <c r="L118" s="123">
        <f t="shared" si="49"/>
        <v>1.393134735305925</v>
      </c>
      <c r="M118" s="124">
        <f t="shared" si="49"/>
        <v>0.7366668971121053</v>
      </c>
      <c r="N118" s="124">
        <f t="shared" si="49"/>
        <v>1.0132184730370084</v>
      </c>
      <c r="O118" s="124">
        <f t="shared" si="49"/>
        <v>1.0041534621183488</v>
      </c>
    </row>
    <row r="119" spans="1:15" ht="13.5" thickBot="1">
      <c r="A119" s="1"/>
      <c r="B119" s="25" t="s">
        <v>166</v>
      </c>
      <c r="C119" s="103">
        <f aca="true" t="shared" si="51" ref="C119:I119">C108+C109+C112</f>
        <v>374000</v>
      </c>
      <c r="D119" s="103">
        <f t="shared" si="51"/>
        <v>206000</v>
      </c>
      <c r="E119" s="103">
        <f t="shared" si="51"/>
        <v>206000</v>
      </c>
      <c r="F119" s="103">
        <f t="shared" si="51"/>
        <v>250000</v>
      </c>
      <c r="G119" s="103">
        <f t="shared" si="51"/>
        <v>230000</v>
      </c>
      <c r="H119" s="103">
        <f t="shared" si="51"/>
        <v>230000</v>
      </c>
      <c r="I119" s="103">
        <f t="shared" si="51"/>
        <v>230000</v>
      </c>
      <c r="J119" s="123">
        <f>D119/C119</f>
        <v>0.5508021390374331</v>
      </c>
      <c r="K119" s="123">
        <f>E119/C119</f>
        <v>0.5508021390374331</v>
      </c>
      <c r="L119" s="123">
        <f t="shared" si="49"/>
        <v>1.2135922330097086</v>
      </c>
      <c r="M119" s="124">
        <f t="shared" si="49"/>
        <v>0.92</v>
      </c>
      <c r="N119" s="124">
        <f t="shared" si="49"/>
        <v>1</v>
      </c>
      <c r="O119" s="124">
        <f t="shared" si="49"/>
        <v>1</v>
      </c>
    </row>
    <row r="120" spans="1:15" ht="26.25" thickBot="1">
      <c r="A120" s="1"/>
      <c r="B120" s="25" t="s">
        <v>168</v>
      </c>
      <c r="C120" s="103">
        <f aca="true" t="shared" si="52" ref="C120:I120">C49</f>
        <v>168000</v>
      </c>
      <c r="D120" s="103">
        <f t="shared" si="52"/>
        <v>140005</v>
      </c>
      <c r="E120" s="103">
        <f t="shared" si="52"/>
        <v>142275</v>
      </c>
      <c r="F120" s="103">
        <f t="shared" si="52"/>
        <v>215000</v>
      </c>
      <c r="G120" s="103">
        <f t="shared" si="52"/>
        <v>234907</v>
      </c>
      <c r="H120" s="103">
        <f t="shared" si="52"/>
        <v>212684</v>
      </c>
      <c r="I120" s="103">
        <f t="shared" si="52"/>
        <v>183258</v>
      </c>
      <c r="J120" s="123">
        <f>D120/C120</f>
        <v>0.8333630952380953</v>
      </c>
      <c r="K120" s="123">
        <f>E120/C120</f>
        <v>0.846875</v>
      </c>
      <c r="L120" s="123">
        <f t="shared" si="49"/>
        <v>1.5111579687225443</v>
      </c>
      <c r="M120" s="124">
        <f t="shared" si="49"/>
        <v>1.0925906976744186</v>
      </c>
      <c r="N120" s="124">
        <f t="shared" si="49"/>
        <v>0.90539660376234</v>
      </c>
      <c r="O120" s="124">
        <f t="shared" si="49"/>
        <v>0.8616445054635046</v>
      </c>
    </row>
    <row r="121" spans="1:15" ht="13.5" thickBot="1">
      <c r="A121" s="1"/>
      <c r="B121" s="26" t="s">
        <v>135</v>
      </c>
      <c r="C121" s="100">
        <f>C34+C74+C100+C101</f>
        <v>5775717</v>
      </c>
      <c r="D121" s="100">
        <f>D34+D74+D100+D101</f>
        <v>336749</v>
      </c>
      <c r="E121" s="100">
        <f>E34+E74+E100+E101</f>
        <v>474933</v>
      </c>
      <c r="F121" s="100">
        <f>F34+F44+F74+F100+F101+F105</f>
        <v>1780142</v>
      </c>
      <c r="G121" s="100">
        <f>G34+G74+G100+G101+G58</f>
        <v>902638</v>
      </c>
      <c r="H121" s="100">
        <f>H34+H74+H100+H101+H58</f>
        <v>208220</v>
      </c>
      <c r="I121" s="100">
        <f>I34+I74+I100+I101+I58</f>
        <v>162631</v>
      </c>
      <c r="J121" s="123">
        <f>D121/C121</f>
        <v>0.0583042763348689</v>
      </c>
      <c r="K121" s="123">
        <f>E121/C121</f>
        <v>0.08222927127489106</v>
      </c>
      <c r="L121" s="123">
        <f t="shared" si="49"/>
        <v>3.7481960613391783</v>
      </c>
      <c r="M121" s="124">
        <f t="shared" si="49"/>
        <v>0.5070595491820316</v>
      </c>
      <c r="N121" s="124">
        <v>0</v>
      </c>
      <c r="O121" s="124">
        <v>0</v>
      </c>
    </row>
    <row r="122" spans="1:15" ht="13.5" thickTop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</sheetData>
  <mergeCells count="16">
    <mergeCell ref="A8:A10"/>
    <mergeCell ref="A18:A19"/>
    <mergeCell ref="A21:A22"/>
    <mergeCell ref="A28:A34"/>
    <mergeCell ref="A60:A74"/>
    <mergeCell ref="A95:A96"/>
    <mergeCell ref="A36:A38"/>
    <mergeCell ref="A40:A42"/>
    <mergeCell ref="A46:A48"/>
    <mergeCell ref="A53:A55"/>
    <mergeCell ref="A50:A51"/>
    <mergeCell ref="A107:A109"/>
    <mergeCell ref="A76:A77"/>
    <mergeCell ref="A111:A113"/>
    <mergeCell ref="A79:A93"/>
    <mergeCell ref="A98:A105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13" sqref="D13"/>
    </sheetView>
  </sheetViews>
  <sheetFormatPr defaultColWidth="9.00390625" defaultRowHeight="12.75"/>
  <cols>
    <col min="1" max="1" width="5.875" style="0" customWidth="1"/>
    <col min="2" max="2" width="27.00390625" style="0" customWidth="1"/>
    <col min="3" max="3" width="10.375" style="0" customWidth="1"/>
    <col min="4" max="4" width="9.25390625" style="0" bestFit="1" customWidth="1"/>
    <col min="5" max="5" width="11.25390625" style="0" bestFit="1" customWidth="1"/>
    <col min="7" max="7" width="11.375" style="0" customWidth="1"/>
  </cols>
  <sheetData>
    <row r="1" ht="12.75">
      <c r="D1" t="s">
        <v>349</v>
      </c>
    </row>
    <row r="3" ht="12.75">
      <c r="A3" s="29" t="s">
        <v>237</v>
      </c>
    </row>
    <row r="4" ht="12.75">
      <c r="A4" s="29" t="s">
        <v>448</v>
      </c>
    </row>
    <row r="6" spans="1:5" ht="25.5">
      <c r="A6" s="59" t="s">
        <v>222</v>
      </c>
      <c r="B6" s="31" t="s">
        <v>2</v>
      </c>
      <c r="C6" s="59" t="s">
        <v>239</v>
      </c>
      <c r="D6" s="59" t="s">
        <v>240</v>
      </c>
      <c r="E6" s="59" t="s">
        <v>223</v>
      </c>
    </row>
    <row r="7" spans="1:5" ht="12.75">
      <c r="A7" s="47" t="s">
        <v>52</v>
      </c>
      <c r="B7" s="22" t="s">
        <v>231</v>
      </c>
      <c r="C7" s="47">
        <f>C9+C14+C16</f>
        <v>3031133</v>
      </c>
      <c r="D7" s="47">
        <f>D9+D10+D13+D14+D16</f>
        <v>674689</v>
      </c>
      <c r="E7" s="47">
        <f>E9+E14+E16</f>
        <v>3711700</v>
      </c>
    </row>
    <row r="8" spans="1:7" ht="12.75">
      <c r="A8" s="45"/>
      <c r="B8" s="21" t="s">
        <v>225</v>
      </c>
      <c r="C8" s="45"/>
      <c r="D8" s="45"/>
      <c r="E8" s="45"/>
      <c r="G8" s="53"/>
    </row>
    <row r="9" spans="1:7" ht="12.75">
      <c r="A9" s="60" t="s">
        <v>53</v>
      </c>
      <c r="B9" s="61" t="s">
        <v>226</v>
      </c>
      <c r="C9" s="60">
        <f>C10+C13</f>
        <v>1505985</v>
      </c>
      <c r="D9" s="60">
        <f>D10+D13</f>
        <v>0</v>
      </c>
      <c r="E9" s="60">
        <f>E10+E12</f>
        <v>1511863</v>
      </c>
      <c r="G9" s="53"/>
    </row>
    <row r="10" spans="1:7" ht="12.75">
      <c r="A10" s="45" t="s">
        <v>55</v>
      </c>
      <c r="B10" s="21" t="s">
        <v>229</v>
      </c>
      <c r="C10" s="45">
        <f>772404+427890</f>
        <v>1200294</v>
      </c>
      <c r="D10" s="45"/>
      <c r="E10" s="45">
        <f>C10+D10</f>
        <v>1200294</v>
      </c>
      <c r="G10" s="53"/>
    </row>
    <row r="11" spans="1:7" ht="12.75">
      <c r="A11" s="45"/>
      <c r="B11" s="21" t="s">
        <v>238</v>
      </c>
      <c r="C11" s="45">
        <f>240355+772404</f>
        <v>1012759</v>
      </c>
      <c r="D11" s="45"/>
      <c r="E11" s="45">
        <f>SUM(C11:D11)</f>
        <v>1012759</v>
      </c>
      <c r="G11" s="53"/>
    </row>
    <row r="12" spans="1:7" ht="15" customHeight="1">
      <c r="A12" s="45" t="s">
        <v>57</v>
      </c>
      <c r="B12" s="21" t="s">
        <v>230</v>
      </c>
      <c r="C12" s="45">
        <v>311569</v>
      </c>
      <c r="D12" s="45"/>
      <c r="E12" s="45">
        <f>SUM(C12:D12)</f>
        <v>311569</v>
      </c>
      <c r="G12" s="53">
        <f>E11+E13</f>
        <v>1318450</v>
      </c>
    </row>
    <row r="13" spans="1:7" ht="15.75" customHeight="1">
      <c r="A13" s="45"/>
      <c r="B13" s="21" t="s">
        <v>238</v>
      </c>
      <c r="C13" s="45">
        <v>305691</v>
      </c>
      <c r="D13" s="45"/>
      <c r="E13" s="45">
        <f>C13+D13</f>
        <v>305691</v>
      </c>
      <c r="G13" s="53"/>
    </row>
    <row r="14" spans="1:7" ht="25.5">
      <c r="A14" s="60" t="s">
        <v>77</v>
      </c>
      <c r="B14" s="61" t="s">
        <v>227</v>
      </c>
      <c r="C14" s="60">
        <f>7152+1443106</f>
        <v>1450258</v>
      </c>
      <c r="D14" s="60">
        <v>674689</v>
      </c>
      <c r="E14" s="60">
        <f>C14+D14</f>
        <v>2124947</v>
      </c>
      <c r="G14" s="53">
        <f>E14+E16</f>
        <v>2199837</v>
      </c>
    </row>
    <row r="15" spans="1:7" ht="12.75">
      <c r="A15" s="45"/>
      <c r="B15" s="21" t="s">
        <v>238</v>
      </c>
      <c r="C15" s="45">
        <f>318+466181</f>
        <v>466499</v>
      </c>
      <c r="D15" s="45">
        <v>36200</v>
      </c>
      <c r="E15" s="45">
        <f>SUM(C15:D15)</f>
        <v>502699</v>
      </c>
      <c r="G15" s="53">
        <f>E15+E17</f>
        <v>559472</v>
      </c>
    </row>
    <row r="16" spans="1:5" ht="12.75">
      <c r="A16" s="60" t="s">
        <v>88</v>
      </c>
      <c r="B16" s="61" t="s">
        <v>228</v>
      </c>
      <c r="C16" s="60">
        <f>4247+70643</f>
        <v>74890</v>
      </c>
      <c r="D16" s="60"/>
      <c r="E16" s="60">
        <f>C16+D16</f>
        <v>74890</v>
      </c>
    </row>
    <row r="17" spans="1:5" ht="12.75">
      <c r="A17" s="45"/>
      <c r="B17" s="21" t="s">
        <v>238</v>
      </c>
      <c r="C17" s="45">
        <f>131+56642</f>
        <v>56773</v>
      </c>
      <c r="D17" s="45"/>
      <c r="E17" s="45">
        <f>C17+D17</f>
        <v>56773</v>
      </c>
    </row>
    <row r="18" spans="1:5" ht="12.75">
      <c r="A18" s="45"/>
      <c r="B18" s="21"/>
      <c r="C18" s="45"/>
      <c r="D18" s="45"/>
      <c r="E18" s="45"/>
    </row>
    <row r="19" spans="1:5" ht="12.75">
      <c r="A19" s="47" t="s">
        <v>73</v>
      </c>
      <c r="B19" s="22" t="s">
        <v>224</v>
      </c>
      <c r="C19" s="47">
        <f>C20+C21+C22</f>
        <v>4275000</v>
      </c>
      <c r="D19" s="47">
        <f>D20+D21+D22</f>
        <v>13127</v>
      </c>
      <c r="E19" s="47">
        <f>E20+E21+E22</f>
        <v>4288127</v>
      </c>
    </row>
    <row r="20" spans="1:5" ht="38.25">
      <c r="A20" s="45" t="s">
        <v>75</v>
      </c>
      <c r="B20" s="21" t="s">
        <v>232</v>
      </c>
      <c r="C20" s="45">
        <v>3325000</v>
      </c>
      <c r="D20" s="45"/>
      <c r="E20" s="45">
        <f>C20+D20</f>
        <v>3325000</v>
      </c>
    </row>
    <row r="21" spans="1:5" ht="25.5">
      <c r="A21" s="45" t="s">
        <v>106</v>
      </c>
      <c r="B21" s="21" t="s">
        <v>233</v>
      </c>
      <c r="C21" s="45">
        <v>700000</v>
      </c>
      <c r="D21" s="45">
        <v>13127</v>
      </c>
      <c r="E21" s="45">
        <f>C21+D21</f>
        <v>713127</v>
      </c>
    </row>
    <row r="22" spans="1:5" ht="12.75">
      <c r="A22" s="45" t="s">
        <v>109</v>
      </c>
      <c r="B22" s="21" t="s">
        <v>458</v>
      </c>
      <c r="C22" s="45">
        <v>250000</v>
      </c>
      <c r="D22" s="45"/>
      <c r="E22" s="45">
        <f>C22+D22</f>
        <v>250000</v>
      </c>
    </row>
    <row r="23" spans="1:5" ht="12.75">
      <c r="A23" s="45"/>
      <c r="B23" s="21"/>
      <c r="C23" s="45"/>
      <c r="D23" s="45"/>
      <c r="E23" s="45"/>
    </row>
    <row r="24" spans="1:5" ht="12.75">
      <c r="A24" s="47" t="s">
        <v>111</v>
      </c>
      <c r="B24" s="22" t="s">
        <v>235</v>
      </c>
      <c r="C24" s="47">
        <f>C7+C19</f>
        <v>7306133</v>
      </c>
      <c r="D24" s="47">
        <f>D7+D19</f>
        <v>687816</v>
      </c>
      <c r="E24" s="47">
        <f>E7+E19</f>
        <v>7999827</v>
      </c>
    </row>
    <row r="25" spans="1:5" ht="13.5" thickBot="1">
      <c r="A25" s="54"/>
      <c r="B25" s="23"/>
      <c r="C25" s="54"/>
      <c r="D25" s="54"/>
      <c r="E25" s="54"/>
    </row>
    <row r="26" spans="1:5" ht="27.75" thickBot="1" thickTop="1">
      <c r="A26" s="55" t="s">
        <v>116</v>
      </c>
      <c r="B26" s="56" t="s">
        <v>236</v>
      </c>
      <c r="C26" s="57"/>
      <c r="D26" s="57"/>
      <c r="E26" s="58">
        <f>E11+E13+E15+E17+E19</f>
        <v>6166049</v>
      </c>
    </row>
    <row r="27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G1">
      <selection activeCell="I46" sqref="I46"/>
    </sheetView>
  </sheetViews>
  <sheetFormatPr defaultColWidth="9.00390625" defaultRowHeight="12.75"/>
  <cols>
    <col min="1" max="1" width="5.125" style="0" customWidth="1"/>
    <col min="2" max="2" width="32.125" style="0" customWidth="1"/>
    <col min="3" max="3" width="9.75390625" style="0" customWidth="1"/>
    <col min="4" max="10" width="9.875" style="0" bestFit="1" customWidth="1"/>
    <col min="11" max="11" width="10.625" style="0" customWidth="1"/>
    <col min="12" max="13" width="9.875" style="0" bestFit="1" customWidth="1"/>
    <col min="14" max="16" width="9.75390625" style="0" bestFit="1" customWidth="1"/>
  </cols>
  <sheetData>
    <row r="1" ht="12.75">
      <c r="O1" t="s">
        <v>390</v>
      </c>
    </row>
    <row r="3" ht="12.75">
      <c r="A3" s="29" t="s">
        <v>442</v>
      </c>
    </row>
    <row r="4" ht="12.75">
      <c r="A4" s="29" t="s">
        <v>241</v>
      </c>
    </row>
    <row r="6" spans="1:16" ht="25.5">
      <c r="A6" s="10" t="s">
        <v>37</v>
      </c>
      <c r="B6" s="10" t="s">
        <v>2</v>
      </c>
      <c r="C6" s="10" t="s">
        <v>3</v>
      </c>
      <c r="D6" s="10" t="s">
        <v>178</v>
      </c>
      <c r="E6" s="10" t="s">
        <v>179</v>
      </c>
      <c r="F6" s="10" t="s">
        <v>180</v>
      </c>
      <c r="G6" s="10" t="s">
        <v>181</v>
      </c>
      <c r="H6" s="10" t="s">
        <v>182</v>
      </c>
      <c r="I6" s="10" t="s">
        <v>183</v>
      </c>
      <c r="J6" s="10" t="s">
        <v>184</v>
      </c>
      <c r="K6" s="10" t="s">
        <v>185</v>
      </c>
      <c r="L6" s="10" t="s">
        <v>186</v>
      </c>
      <c r="M6" s="10" t="s">
        <v>187</v>
      </c>
      <c r="N6" s="10" t="s">
        <v>188</v>
      </c>
      <c r="O6" s="10" t="s">
        <v>189</v>
      </c>
      <c r="P6" s="10" t="s">
        <v>190</v>
      </c>
    </row>
    <row r="7" spans="1:16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</row>
    <row r="8" spans="1:16" ht="12.75">
      <c r="A8" s="2" t="s">
        <v>52</v>
      </c>
      <c r="B8" s="2" t="s">
        <v>191</v>
      </c>
      <c r="C8" s="45">
        <v>12033852</v>
      </c>
      <c r="D8" s="45">
        <f>'Pl. Dochodów'!E7</f>
        <v>10394606</v>
      </c>
      <c r="E8" s="45">
        <f>'Pl. Dochodów'!F7</f>
        <v>10920600</v>
      </c>
      <c r="F8" s="45">
        <f>'Pl. Dochodów'!G7</f>
        <v>10921458</v>
      </c>
      <c r="G8" s="45">
        <f>'Pl. Dochodów'!H7</f>
        <v>10923165</v>
      </c>
      <c r="H8" s="45">
        <f>'Pl. Dochodów'!I7</f>
        <v>10935490</v>
      </c>
      <c r="I8" s="45">
        <v>11025000</v>
      </c>
      <c r="J8" s="45">
        <v>11025000</v>
      </c>
      <c r="K8" s="45">
        <v>11025000</v>
      </c>
      <c r="L8" s="45">
        <v>11025000</v>
      </c>
      <c r="M8" s="45">
        <v>11025000</v>
      </c>
      <c r="N8" s="45">
        <v>11025000</v>
      </c>
      <c r="O8" s="45">
        <v>11025000</v>
      </c>
      <c r="P8" s="45">
        <v>11025000</v>
      </c>
    </row>
    <row r="9" spans="1:16" ht="25.5">
      <c r="A9" s="2" t="s">
        <v>73</v>
      </c>
      <c r="B9" s="2" t="s">
        <v>401</v>
      </c>
      <c r="C9" s="45">
        <v>8886704</v>
      </c>
      <c r="D9" s="45">
        <f>'NOWE - Pl. Wydatków'!E115-'NOWE - Pl. Wydatków'!E120-'NOWE - Pl. Wydatków'!E121</f>
        <v>8277179</v>
      </c>
      <c r="E9" s="45">
        <f>'NOWE - Pl. Wydatków'!F117-'NOWE - Pl. Wydatków'!F120</f>
        <v>12391258</v>
      </c>
      <c r="F9" s="45">
        <f>'NOWE - Pl. Wydatków'!G117-'NOWE - Pl. Wydatków'!G120</f>
        <v>8583913</v>
      </c>
      <c r="G9" s="45">
        <f>'NOWE - Pl. Wydatków'!H117-'NOWE - Pl. Wydatków'!H120</f>
        <v>9114041</v>
      </c>
      <c r="H9" s="45">
        <f>'NOWE - Pl. Wydatków'!I117-'NOWE - Pl. Wydatków'!I120</f>
        <v>9346970</v>
      </c>
      <c r="I9" s="45">
        <v>9600000</v>
      </c>
      <c r="J9" s="45">
        <v>9600000</v>
      </c>
      <c r="K9" s="45">
        <v>9600000</v>
      </c>
      <c r="L9" s="45">
        <v>9600000</v>
      </c>
      <c r="M9" s="45">
        <v>9600000</v>
      </c>
      <c r="N9" s="45">
        <v>9600000</v>
      </c>
      <c r="O9" s="45">
        <v>9600000</v>
      </c>
      <c r="P9" s="45">
        <v>9600000</v>
      </c>
    </row>
    <row r="10" spans="1:21" ht="12.75">
      <c r="A10" s="35" t="s">
        <v>111</v>
      </c>
      <c r="B10" s="35" t="s">
        <v>192</v>
      </c>
      <c r="C10" s="47">
        <f aca="true" t="shared" si="0" ref="C10:P10">C8-C9</f>
        <v>3147148</v>
      </c>
      <c r="D10" s="47">
        <f t="shared" si="0"/>
        <v>2117427</v>
      </c>
      <c r="E10" s="47">
        <f t="shared" si="0"/>
        <v>-1470658</v>
      </c>
      <c r="F10" s="47">
        <f t="shared" si="0"/>
        <v>2337545</v>
      </c>
      <c r="G10" s="47">
        <f t="shared" si="0"/>
        <v>1809124</v>
      </c>
      <c r="H10" s="47">
        <f t="shared" si="0"/>
        <v>1588520</v>
      </c>
      <c r="I10" s="47">
        <f t="shared" si="0"/>
        <v>1425000</v>
      </c>
      <c r="J10" s="47">
        <f t="shared" si="0"/>
        <v>1425000</v>
      </c>
      <c r="K10" s="47">
        <f t="shared" si="0"/>
        <v>1425000</v>
      </c>
      <c r="L10" s="47">
        <f t="shared" si="0"/>
        <v>1425000</v>
      </c>
      <c r="M10" s="47">
        <f t="shared" si="0"/>
        <v>1425000</v>
      </c>
      <c r="N10" s="47">
        <f t="shared" si="0"/>
        <v>1425000</v>
      </c>
      <c r="O10" s="47">
        <f t="shared" si="0"/>
        <v>1425000</v>
      </c>
      <c r="P10" s="47">
        <f t="shared" si="0"/>
        <v>1425000</v>
      </c>
      <c r="Q10" s="37"/>
      <c r="R10" s="37"/>
      <c r="S10" s="37"/>
      <c r="T10" s="37"/>
      <c r="U10" s="37"/>
    </row>
    <row r="11" spans="1:16" ht="14.25" customHeight="1">
      <c r="A11" s="35" t="s">
        <v>116</v>
      </c>
      <c r="B11" s="35" t="s">
        <v>193</v>
      </c>
      <c r="C11" s="36">
        <f aca="true" t="shared" si="1" ref="C11:P11">C10/C8</f>
        <v>0.2615245725142706</v>
      </c>
      <c r="D11" s="36">
        <f t="shared" si="1"/>
        <v>0.20370440207161292</v>
      </c>
      <c r="E11" s="36">
        <f t="shared" si="1"/>
        <v>-0.13466824167170302</v>
      </c>
      <c r="F11" s="36">
        <f t="shared" si="1"/>
        <v>0.21403232059309296</v>
      </c>
      <c r="G11" s="36">
        <f t="shared" si="1"/>
        <v>0.16562269269025964</v>
      </c>
      <c r="H11" s="36">
        <f t="shared" si="1"/>
        <v>0.14526280943972333</v>
      </c>
      <c r="I11" s="36">
        <f t="shared" si="1"/>
        <v>0.1292517006802721</v>
      </c>
      <c r="J11" s="36">
        <f t="shared" si="1"/>
        <v>0.1292517006802721</v>
      </c>
      <c r="K11" s="36">
        <f t="shared" si="1"/>
        <v>0.1292517006802721</v>
      </c>
      <c r="L11" s="36">
        <f t="shared" si="1"/>
        <v>0.1292517006802721</v>
      </c>
      <c r="M11" s="36">
        <f t="shared" si="1"/>
        <v>0.1292517006802721</v>
      </c>
      <c r="N11" s="36">
        <f t="shared" si="1"/>
        <v>0.1292517006802721</v>
      </c>
      <c r="O11" s="36">
        <f t="shared" si="1"/>
        <v>0.1292517006802721</v>
      </c>
      <c r="P11" s="36">
        <f t="shared" si="1"/>
        <v>0.1292517006802721</v>
      </c>
    </row>
    <row r="12" spans="1:16" ht="12.75">
      <c r="A12" s="2" t="s">
        <v>194</v>
      </c>
      <c r="B12" s="2" t="s">
        <v>195</v>
      </c>
      <c r="C12" s="45">
        <v>168000</v>
      </c>
      <c r="D12" s="45">
        <f>'NOWE - Pl. Wydatków'!E120</f>
        <v>142275</v>
      </c>
      <c r="E12" s="93">
        <v>215000</v>
      </c>
      <c r="F12" s="93">
        <v>188032</v>
      </c>
      <c r="G12" s="93">
        <v>165809</v>
      </c>
      <c r="H12" s="93">
        <v>136383</v>
      </c>
      <c r="I12" s="93">
        <f>'harm. poż. - wariant I'!F53</f>
        <v>97806.89212328767</v>
      </c>
      <c r="J12" s="93">
        <f>'harm. poż. - wariant I'!G53</f>
        <v>68744.39212328766</v>
      </c>
      <c r="K12" s="93">
        <f>'harm. poż. - wariant I'!H53</f>
        <v>39681.892123287675</v>
      </c>
      <c r="L12" s="93">
        <f>'harm. poż. - wariant I'!I53</f>
        <v>10887.200342465754</v>
      </c>
      <c r="M12" s="93"/>
      <c r="N12" s="45"/>
      <c r="O12" s="45"/>
      <c r="P12" s="45"/>
    </row>
    <row r="13" spans="1:16" ht="12.75">
      <c r="A13" s="2"/>
      <c r="B13" s="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2.75">
      <c r="A14" s="2" t="s">
        <v>196</v>
      </c>
      <c r="B14" s="2" t="s">
        <v>335</v>
      </c>
      <c r="C14" s="45">
        <v>1300000</v>
      </c>
      <c r="D14" s="45">
        <f>'prognoza długu - Wersja I'!D15</f>
        <v>1252500</v>
      </c>
      <c r="E14" s="45">
        <f>'NOWE prognoza długu-Wersja II'!E15</f>
        <v>1850000</v>
      </c>
      <c r="F14" s="45">
        <v>1000000</v>
      </c>
      <c r="G14" s="45">
        <v>1180000</v>
      </c>
      <c r="H14" s="45">
        <v>1080000</v>
      </c>
      <c r="I14" s="45">
        <v>930000</v>
      </c>
      <c r="J14" s="45">
        <v>930000</v>
      </c>
      <c r="K14" s="45">
        <v>920800</v>
      </c>
      <c r="L14" s="45">
        <v>700000</v>
      </c>
      <c r="M14" s="45"/>
      <c r="N14" s="45"/>
      <c r="O14" s="45"/>
      <c r="P14" s="45"/>
    </row>
    <row r="15" spans="1:16" ht="12.75">
      <c r="A15" s="2" t="s">
        <v>344</v>
      </c>
      <c r="B15" s="2" t="s">
        <v>345</v>
      </c>
      <c r="C15" s="45"/>
      <c r="D15" s="45"/>
      <c r="E15" s="45"/>
      <c r="F15" s="45"/>
      <c r="G15" s="45">
        <f>G41</f>
        <v>0</v>
      </c>
      <c r="H15" s="45">
        <f>H41</f>
        <v>0</v>
      </c>
      <c r="I15" s="45">
        <f>I41</f>
        <v>0</v>
      </c>
      <c r="J15" s="45">
        <f>J41</f>
        <v>0</v>
      </c>
      <c r="K15" s="45">
        <v>920800</v>
      </c>
      <c r="L15" s="45">
        <v>700000</v>
      </c>
      <c r="M15" s="45"/>
      <c r="N15" s="45"/>
      <c r="O15" s="45"/>
      <c r="P15" s="45"/>
    </row>
    <row r="16" spans="1:16" ht="12.75">
      <c r="A16" s="38" t="s">
        <v>197</v>
      </c>
      <c r="B16" s="38" t="s">
        <v>198</v>
      </c>
      <c r="C16" s="46">
        <f aca="true" t="shared" si="2" ref="C16:P16">C10-C12-C14</f>
        <v>1679148</v>
      </c>
      <c r="D16" s="46">
        <f t="shared" si="2"/>
        <v>722652</v>
      </c>
      <c r="E16" s="46">
        <f t="shared" si="2"/>
        <v>-3535658</v>
      </c>
      <c r="F16" s="46">
        <f t="shared" si="2"/>
        <v>1149513</v>
      </c>
      <c r="G16" s="46">
        <f t="shared" si="2"/>
        <v>463315</v>
      </c>
      <c r="H16" s="46">
        <f t="shared" si="2"/>
        <v>372137</v>
      </c>
      <c r="I16" s="46">
        <f t="shared" si="2"/>
        <v>397193.1078767122</v>
      </c>
      <c r="J16" s="46">
        <f t="shared" si="2"/>
        <v>426255.60787671246</v>
      </c>
      <c r="K16" s="46">
        <f t="shared" si="2"/>
        <v>464518.1078767122</v>
      </c>
      <c r="L16" s="46">
        <f t="shared" si="2"/>
        <v>714112.7996575343</v>
      </c>
      <c r="M16" s="46">
        <f t="shared" si="2"/>
        <v>1425000</v>
      </c>
      <c r="N16" s="46">
        <f t="shared" si="2"/>
        <v>1425000</v>
      </c>
      <c r="O16" s="46">
        <f t="shared" si="2"/>
        <v>1425000</v>
      </c>
      <c r="P16" s="46">
        <f t="shared" si="2"/>
        <v>1425000</v>
      </c>
    </row>
    <row r="17" spans="1:16" ht="25.5">
      <c r="A17" s="38" t="s">
        <v>274</v>
      </c>
      <c r="B17" s="38" t="s">
        <v>334</v>
      </c>
      <c r="C17" s="46">
        <v>5775717</v>
      </c>
      <c r="D17" s="46">
        <f>'NOWE - Pl. Wydatków'!E121</f>
        <v>474933</v>
      </c>
      <c r="E17" s="46">
        <f>'NOWE - Pl. Wydatków'!F121-1000000</f>
        <v>780142</v>
      </c>
      <c r="F17" s="190">
        <f aca="true" t="shared" si="3" ref="F17:P17">F16</f>
        <v>1149513</v>
      </c>
      <c r="G17" s="190">
        <f t="shared" si="3"/>
        <v>463315</v>
      </c>
      <c r="H17" s="190">
        <f t="shared" si="3"/>
        <v>372137</v>
      </c>
      <c r="I17" s="190">
        <f t="shared" si="3"/>
        <v>397193.1078767122</v>
      </c>
      <c r="J17" s="190">
        <f t="shared" si="3"/>
        <v>426255.60787671246</v>
      </c>
      <c r="K17" s="190">
        <f t="shared" si="3"/>
        <v>464518.1078767122</v>
      </c>
      <c r="L17" s="190">
        <f t="shared" si="3"/>
        <v>714112.7996575343</v>
      </c>
      <c r="M17" s="190">
        <f t="shared" si="3"/>
        <v>1425000</v>
      </c>
      <c r="N17" s="190">
        <f t="shared" si="3"/>
        <v>1425000</v>
      </c>
      <c r="O17" s="190">
        <f t="shared" si="3"/>
        <v>1425000</v>
      </c>
      <c r="P17" s="190">
        <f t="shared" si="3"/>
        <v>1425000</v>
      </c>
    </row>
    <row r="18" spans="1:16" ht="12.75">
      <c r="A18" s="35" t="s">
        <v>199</v>
      </c>
      <c r="B18" s="35" t="s">
        <v>200</v>
      </c>
      <c r="C18" s="47">
        <f>-(C10-C12-C14-C17)</f>
        <v>4096569</v>
      </c>
      <c r="D18" s="47">
        <f>-(D10-D12-D14-D17)</f>
        <v>-247719</v>
      </c>
      <c r="E18" s="47">
        <f>-(E10-E12-E14-E17)</f>
        <v>4315800</v>
      </c>
      <c r="F18" s="47">
        <f aca="true" t="shared" si="4" ref="F18:P18">F10-F12-F14+F19-F17</f>
        <v>0</v>
      </c>
      <c r="G18" s="47">
        <f t="shared" si="4"/>
        <v>0</v>
      </c>
      <c r="H18" s="47">
        <f t="shared" si="4"/>
        <v>0</v>
      </c>
      <c r="I18" s="47">
        <f t="shared" si="4"/>
        <v>0</v>
      </c>
      <c r="J18" s="47">
        <f t="shared" si="4"/>
        <v>0</v>
      </c>
      <c r="K18" s="47">
        <f t="shared" si="4"/>
        <v>0</v>
      </c>
      <c r="L18" s="47">
        <f t="shared" si="4"/>
        <v>0</v>
      </c>
      <c r="M18" s="47">
        <f t="shared" si="4"/>
        <v>0</v>
      </c>
      <c r="N18" s="47">
        <f t="shared" si="4"/>
        <v>0</v>
      </c>
      <c r="O18" s="47">
        <f t="shared" si="4"/>
        <v>0</v>
      </c>
      <c r="P18" s="47">
        <f t="shared" si="4"/>
        <v>0</v>
      </c>
    </row>
    <row r="19" spans="1:16" ht="12.75">
      <c r="A19" s="39" t="s">
        <v>201</v>
      </c>
      <c r="B19" s="39" t="s">
        <v>202</v>
      </c>
      <c r="C19" s="48">
        <f aca="true" t="shared" si="5" ref="C19:P19">C20+C22+C23</f>
        <v>4175000</v>
      </c>
      <c r="D19" s="48">
        <f t="shared" si="5"/>
        <v>0</v>
      </c>
      <c r="E19" s="48">
        <f t="shared" si="5"/>
        <v>4315800</v>
      </c>
      <c r="F19" s="48">
        <f t="shared" si="5"/>
        <v>0</v>
      </c>
      <c r="G19" s="48">
        <f t="shared" si="5"/>
        <v>0</v>
      </c>
      <c r="H19" s="48">
        <f t="shared" si="5"/>
        <v>0</v>
      </c>
      <c r="I19" s="48">
        <f t="shared" si="5"/>
        <v>0</v>
      </c>
      <c r="J19" s="48">
        <f t="shared" si="5"/>
        <v>0</v>
      </c>
      <c r="K19" s="48">
        <f t="shared" si="5"/>
        <v>0</v>
      </c>
      <c r="L19" s="48">
        <f t="shared" si="5"/>
        <v>0</v>
      </c>
      <c r="M19" s="48">
        <f t="shared" si="5"/>
        <v>0</v>
      </c>
      <c r="N19" s="48">
        <f t="shared" si="5"/>
        <v>0</v>
      </c>
      <c r="O19" s="48">
        <f t="shared" si="5"/>
        <v>0</v>
      </c>
      <c r="P19" s="48">
        <f t="shared" si="5"/>
        <v>0</v>
      </c>
    </row>
    <row r="20" spans="1:16" ht="12.75">
      <c r="A20" s="2" t="s">
        <v>203</v>
      </c>
      <c r="B20" s="2" t="s">
        <v>204</v>
      </c>
      <c r="C20" s="45">
        <v>4175000</v>
      </c>
      <c r="D20" s="45"/>
      <c r="E20" s="45">
        <f>E21</f>
        <v>4315800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2.75">
      <c r="A21" s="2" t="s">
        <v>346</v>
      </c>
      <c r="B21" s="2" t="s">
        <v>345</v>
      </c>
      <c r="C21" s="45"/>
      <c r="D21" s="45"/>
      <c r="E21" s="45">
        <v>4315800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2.75">
      <c r="A22" s="2" t="s">
        <v>205</v>
      </c>
      <c r="B22" s="2" t="s">
        <v>206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25.5">
      <c r="A23" s="2" t="s">
        <v>207</v>
      </c>
      <c r="B23" s="2" t="s">
        <v>208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25.5">
      <c r="A24" s="41" t="s">
        <v>209</v>
      </c>
      <c r="B24" s="41" t="s">
        <v>213</v>
      </c>
      <c r="C24" s="42">
        <f aca="true" t="shared" si="6" ref="C24:P24">(C12+C14)/C8</f>
        <v>0.12198920179506945</v>
      </c>
      <c r="D24" s="42">
        <f t="shared" si="6"/>
        <v>0.13418257507788173</v>
      </c>
      <c r="E24" s="42">
        <f t="shared" si="6"/>
        <v>0.18909217442265078</v>
      </c>
      <c r="F24" s="42">
        <f t="shared" si="6"/>
        <v>0.10877961532242307</v>
      </c>
      <c r="G24" s="42">
        <f t="shared" si="6"/>
        <v>0.12320687273331493</v>
      </c>
      <c r="H24" s="42">
        <f t="shared" si="6"/>
        <v>0.11123260137405823</v>
      </c>
      <c r="I24" s="42">
        <f t="shared" si="6"/>
        <v>0.09322511493181747</v>
      </c>
      <c r="J24" s="42">
        <f t="shared" si="6"/>
        <v>0.09058906051004877</v>
      </c>
      <c r="K24" s="42">
        <f t="shared" si="6"/>
        <v>0.08711853896809865</v>
      </c>
      <c r="L24" s="42">
        <f t="shared" si="6"/>
        <v>0.064479564656913</v>
      </c>
      <c r="M24" s="42">
        <f t="shared" si="6"/>
        <v>0</v>
      </c>
      <c r="N24" s="42">
        <f t="shared" si="6"/>
        <v>0</v>
      </c>
      <c r="O24" s="42">
        <f t="shared" si="6"/>
        <v>0</v>
      </c>
      <c r="P24" s="42">
        <f t="shared" si="6"/>
        <v>0</v>
      </c>
    </row>
    <row r="25" spans="1:16" ht="25.5">
      <c r="A25" s="40" t="s">
        <v>210</v>
      </c>
      <c r="B25" s="40" t="s">
        <v>333</v>
      </c>
      <c r="C25" s="43">
        <v>6236708</v>
      </c>
      <c r="D25" s="44">
        <f>Zobowiązania!E26</f>
        <v>6166049</v>
      </c>
      <c r="E25" s="44">
        <f aca="true" t="shared" si="7" ref="E25:P25">E27+E29</f>
        <v>6740800</v>
      </c>
      <c r="F25" s="44">
        <f t="shared" si="7"/>
        <v>5740800</v>
      </c>
      <c r="G25" s="44">
        <f t="shared" si="7"/>
        <v>4560800</v>
      </c>
      <c r="H25" s="44">
        <f t="shared" si="7"/>
        <v>3480800</v>
      </c>
      <c r="I25" s="44">
        <f t="shared" si="7"/>
        <v>2550800</v>
      </c>
      <c r="J25" s="44">
        <f t="shared" si="7"/>
        <v>1620800</v>
      </c>
      <c r="K25" s="44">
        <f t="shared" si="7"/>
        <v>700000</v>
      </c>
      <c r="L25" s="44">
        <f t="shared" si="7"/>
        <v>0</v>
      </c>
      <c r="M25" s="44">
        <f t="shared" si="7"/>
        <v>0</v>
      </c>
      <c r="N25" s="44">
        <f t="shared" si="7"/>
        <v>0</v>
      </c>
      <c r="O25" s="44">
        <f t="shared" si="7"/>
        <v>0</v>
      </c>
      <c r="P25" s="44">
        <f t="shared" si="7"/>
        <v>0</v>
      </c>
    </row>
    <row r="26" spans="1:16" ht="12.75">
      <c r="A26" s="40"/>
      <c r="B26" s="40" t="s">
        <v>138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2.75">
      <c r="A27" s="40"/>
      <c r="B27" s="40" t="s">
        <v>204</v>
      </c>
      <c r="C27" s="43">
        <v>5565000</v>
      </c>
      <c r="D27" s="44">
        <f>C27+D20-D14-37500</f>
        <v>4275000</v>
      </c>
      <c r="E27" s="44">
        <f aca="true" t="shared" si="8" ref="E27:O27">D27+E20-E14</f>
        <v>6740800</v>
      </c>
      <c r="F27" s="44">
        <f t="shared" si="8"/>
        <v>5740800</v>
      </c>
      <c r="G27" s="44">
        <f t="shared" si="8"/>
        <v>4560800</v>
      </c>
      <c r="H27" s="44">
        <f t="shared" si="8"/>
        <v>3480800</v>
      </c>
      <c r="I27" s="44">
        <f t="shared" si="8"/>
        <v>2550800</v>
      </c>
      <c r="J27" s="44">
        <f t="shared" si="8"/>
        <v>1620800</v>
      </c>
      <c r="K27" s="44">
        <f t="shared" si="8"/>
        <v>700000</v>
      </c>
      <c r="L27" s="44">
        <f t="shared" si="8"/>
        <v>0</v>
      </c>
      <c r="M27" s="44">
        <f t="shared" si="8"/>
        <v>0</v>
      </c>
      <c r="N27" s="44">
        <f t="shared" si="8"/>
        <v>0</v>
      </c>
      <c r="O27" s="44">
        <f t="shared" si="8"/>
        <v>0</v>
      </c>
      <c r="P27" s="44"/>
    </row>
    <row r="28" spans="1:16" ht="12.75">
      <c r="A28" s="40"/>
      <c r="B28" s="40" t="s">
        <v>449</v>
      </c>
      <c r="C28" s="43"/>
      <c r="D28" s="44">
        <f>Zobowiązania!D21</f>
        <v>13127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38.25">
      <c r="A29" s="40"/>
      <c r="B29" s="40" t="s">
        <v>332</v>
      </c>
      <c r="C29" s="43">
        <v>671708</v>
      </c>
      <c r="D29" s="43">
        <f>Zobowiązania!E17+Zobowiązania!E15+Zobowiązania!E13+Zobowiązania!E11</f>
        <v>1877922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25.5">
      <c r="A30" s="41" t="s">
        <v>211</v>
      </c>
      <c r="B30" s="41" t="s">
        <v>212</v>
      </c>
      <c r="C30" s="42">
        <f aca="true" t="shared" si="9" ref="C30:P30">C25/C8</f>
        <v>0.5182636449243351</v>
      </c>
      <c r="D30" s="42">
        <f t="shared" si="9"/>
        <v>0.5931969908238947</v>
      </c>
      <c r="E30" s="42">
        <f t="shared" si="9"/>
        <v>0.6172554621540941</v>
      </c>
      <c r="F30" s="42">
        <f t="shared" si="9"/>
        <v>0.525644103561997</v>
      </c>
      <c r="G30" s="42">
        <f t="shared" si="9"/>
        <v>0.4175346614282582</v>
      </c>
      <c r="H30" s="42">
        <f t="shared" si="9"/>
        <v>0.31830306643780937</v>
      </c>
      <c r="I30" s="42">
        <f t="shared" si="9"/>
        <v>0.23136507936507936</v>
      </c>
      <c r="J30" s="42">
        <f t="shared" si="9"/>
        <v>0.14701133786848072</v>
      </c>
      <c r="K30" s="42">
        <f t="shared" si="9"/>
        <v>0.06349206349206349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42">
        <f t="shared" si="9"/>
        <v>0</v>
      </c>
      <c r="P30" s="42">
        <f t="shared" si="9"/>
        <v>0</v>
      </c>
    </row>
    <row r="31" spans="1:16" ht="12.75">
      <c r="A31" s="2" t="s">
        <v>214</v>
      </c>
      <c r="B31" s="2" t="s">
        <v>215</v>
      </c>
      <c r="C31" s="45">
        <v>2633366</v>
      </c>
      <c r="D31" s="45">
        <f>Zobowiązania!E7</f>
        <v>3711700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20" ht="12.75">
      <c r="A32" s="34"/>
      <c r="B32" s="34"/>
      <c r="C32" s="34"/>
      <c r="D32" s="34"/>
      <c r="E32" s="34"/>
      <c r="F32" s="34"/>
      <c r="G32" s="52"/>
      <c r="H32" s="52"/>
      <c r="I32" s="52"/>
      <c r="J32" s="52"/>
      <c r="K32" s="52"/>
      <c r="L32" s="52"/>
      <c r="M32" s="34"/>
      <c r="N32" s="52"/>
      <c r="O32" s="34"/>
      <c r="P32" s="34"/>
      <c r="Q32" s="34"/>
      <c r="R32" s="34"/>
      <c r="S32" s="34"/>
      <c r="T32" s="34"/>
    </row>
    <row r="33" spans="1:20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24" customHeight="1">
      <c r="A34" s="1"/>
      <c r="B34" s="1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"/>
      <c r="R34" s="1"/>
      <c r="S34" s="1"/>
      <c r="T34" s="1"/>
    </row>
    <row r="35" spans="1:20" ht="12.75">
      <c r="A35" s="1"/>
      <c r="B35" s="2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1"/>
      <c r="Q35" s="1"/>
      <c r="R35" s="1"/>
      <c r="S35" s="1"/>
      <c r="T35" s="1"/>
    </row>
    <row r="36" spans="2:15" ht="12.75"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6" ht="12.75">
      <c r="A37" s="34"/>
      <c r="B37" s="4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4"/>
    </row>
    <row r="38" spans="1:16" ht="12.75">
      <c r="A38" s="34"/>
      <c r="B38" s="49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34"/>
    </row>
    <row r="39" spans="1:16" ht="14.25" customHeight="1">
      <c r="A39" s="34"/>
      <c r="B39" s="49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34"/>
    </row>
    <row r="40" spans="1:16" ht="12.75">
      <c r="A40" s="1"/>
      <c r="B40" s="49"/>
      <c r="C40" s="5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50"/>
      <c r="C41" s="51"/>
      <c r="D41" s="1"/>
      <c r="E41" s="1"/>
      <c r="F41" s="1"/>
      <c r="G41" s="51"/>
      <c r="H41" s="51"/>
      <c r="I41" s="51"/>
      <c r="J41" s="51"/>
      <c r="K41" s="51"/>
      <c r="L41" s="51"/>
      <c r="M41" s="51"/>
      <c r="N41" s="51"/>
      <c r="O41" s="1"/>
      <c r="P41" s="1"/>
    </row>
    <row r="42" spans="2:13" ht="12.75">
      <c r="B42" s="50"/>
      <c r="C42" s="51"/>
      <c r="D42" s="5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</sheetData>
  <printOptions/>
  <pageMargins left="0.75" right="0.75" top="1" bottom="1" header="0.5" footer="0.5"/>
  <pageSetup horizontalDpi="300" verticalDpi="300" orientation="landscape" paperSize="9" scale="75" r:id="rId1"/>
  <rowBreaks count="1" manualBreakCount="1">
    <brk id="3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E1">
      <selection activeCell="Q35" sqref="Q35"/>
    </sheetView>
  </sheetViews>
  <sheetFormatPr defaultColWidth="9.00390625" defaultRowHeight="12.75"/>
  <cols>
    <col min="1" max="1" width="5.125" style="0" customWidth="1"/>
    <col min="2" max="2" width="32.125" style="0" customWidth="1"/>
    <col min="3" max="3" width="9.75390625" style="0" customWidth="1"/>
    <col min="4" max="13" width="9.875" style="0" bestFit="1" customWidth="1"/>
    <col min="14" max="16" width="9.75390625" style="0" bestFit="1" customWidth="1"/>
  </cols>
  <sheetData>
    <row r="1" spans="6:15" ht="12.75">
      <c r="F1" s="37"/>
      <c r="G1" s="37"/>
      <c r="O1" t="s">
        <v>391</v>
      </c>
    </row>
    <row r="2" ht="12.75">
      <c r="G2" s="37"/>
    </row>
    <row r="3" ht="12.75">
      <c r="A3" s="29" t="s">
        <v>459</v>
      </c>
    </row>
    <row r="4" ht="12.75">
      <c r="A4" s="29" t="s">
        <v>241</v>
      </c>
    </row>
    <row r="6" spans="1:16" ht="25.5">
      <c r="A6" s="10" t="s">
        <v>37</v>
      </c>
      <c r="B6" s="10" t="s">
        <v>2</v>
      </c>
      <c r="C6" s="10" t="s">
        <v>3</v>
      </c>
      <c r="D6" s="10" t="s">
        <v>178</v>
      </c>
      <c r="E6" s="10" t="s">
        <v>179</v>
      </c>
      <c r="F6" s="10" t="s">
        <v>180</v>
      </c>
      <c r="G6" s="10" t="s">
        <v>181</v>
      </c>
      <c r="H6" s="10" t="s">
        <v>182</v>
      </c>
      <c r="I6" s="10" t="s">
        <v>183</v>
      </c>
      <c r="J6" s="10" t="s">
        <v>184</v>
      </c>
      <c r="K6" s="10" t="s">
        <v>185</v>
      </c>
      <c r="L6" s="10" t="s">
        <v>186</v>
      </c>
      <c r="M6" s="10" t="s">
        <v>187</v>
      </c>
      <c r="N6" s="10" t="s">
        <v>188</v>
      </c>
      <c r="O6" s="10" t="s">
        <v>189</v>
      </c>
      <c r="P6" s="10" t="s">
        <v>190</v>
      </c>
    </row>
    <row r="7" spans="1:16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</row>
    <row r="8" spans="1:16" ht="12.75">
      <c r="A8" s="2" t="s">
        <v>52</v>
      </c>
      <c r="B8" s="2" t="s">
        <v>191</v>
      </c>
      <c r="C8" s="45">
        <v>12033852</v>
      </c>
      <c r="D8" s="45">
        <f>'Pl. Dochodów'!E7</f>
        <v>10394606</v>
      </c>
      <c r="E8" s="45">
        <f>'Pl. Dochodów'!F7</f>
        <v>10920600</v>
      </c>
      <c r="F8" s="45">
        <f>'Pl. Dochodów'!G7</f>
        <v>10921458</v>
      </c>
      <c r="G8" s="45">
        <f>'Pl. Dochodów'!H7</f>
        <v>10923165</v>
      </c>
      <c r="H8" s="45">
        <f>'Pl. Dochodów'!I7</f>
        <v>10935490</v>
      </c>
      <c r="I8" s="45">
        <v>11025000</v>
      </c>
      <c r="J8" s="45">
        <v>11025000</v>
      </c>
      <c r="K8" s="45">
        <v>11025000</v>
      </c>
      <c r="L8" s="45">
        <v>11025000</v>
      </c>
      <c r="M8" s="45">
        <v>11025000</v>
      </c>
      <c r="N8" s="45">
        <v>11025000</v>
      </c>
      <c r="O8" s="45">
        <v>11025000</v>
      </c>
      <c r="P8" s="45">
        <v>11025000</v>
      </c>
    </row>
    <row r="9" spans="1:16" ht="25.5">
      <c r="A9" s="2" t="s">
        <v>73</v>
      </c>
      <c r="B9" s="2" t="s">
        <v>401</v>
      </c>
      <c r="C9" s="45">
        <v>8886704</v>
      </c>
      <c r="D9" s="45" t="e">
        <f>#REF!</f>
        <v>#REF!</v>
      </c>
      <c r="E9" s="45">
        <f>'NOWE - Pl. Wydatków'!F117-E12</f>
        <v>12391258</v>
      </c>
      <c r="F9" s="45">
        <f>'NOWE - Pl. Wydatków'!G117-'NOWE - Pl. Wydatków'!G120</f>
        <v>8583913</v>
      </c>
      <c r="G9" s="45">
        <f>'NOWE - Pl. Wydatków'!H117-'NOWE - Pl. Wydatków'!H120</f>
        <v>9114041</v>
      </c>
      <c r="H9" s="45">
        <f>'NOWE - Pl. Wydatków'!I117-'NOWE - Pl. Wydatków'!I120</f>
        <v>9346970</v>
      </c>
      <c r="I9" s="45">
        <v>9600000</v>
      </c>
      <c r="J9" s="45">
        <v>9600000</v>
      </c>
      <c r="K9" s="45">
        <v>9600000</v>
      </c>
      <c r="L9" s="45">
        <v>9600000</v>
      </c>
      <c r="M9" s="45">
        <v>9600000</v>
      </c>
      <c r="N9" s="45">
        <v>9600000</v>
      </c>
      <c r="O9" s="45">
        <v>9600000</v>
      </c>
      <c r="P9" s="45">
        <v>9600000</v>
      </c>
    </row>
    <row r="10" spans="1:21" ht="12.75">
      <c r="A10" s="35" t="s">
        <v>111</v>
      </c>
      <c r="B10" s="35" t="s">
        <v>192</v>
      </c>
      <c r="C10" s="47">
        <f aca="true" t="shared" si="0" ref="C10:P10">C8-C9</f>
        <v>3147148</v>
      </c>
      <c r="D10" s="47" t="e">
        <f t="shared" si="0"/>
        <v>#REF!</v>
      </c>
      <c r="E10" s="47">
        <f t="shared" si="0"/>
        <v>-1470658</v>
      </c>
      <c r="F10" s="47">
        <f t="shared" si="0"/>
        <v>2337545</v>
      </c>
      <c r="G10" s="47">
        <f t="shared" si="0"/>
        <v>1809124</v>
      </c>
      <c r="H10" s="47">
        <f t="shared" si="0"/>
        <v>1588520</v>
      </c>
      <c r="I10" s="47">
        <f t="shared" si="0"/>
        <v>1425000</v>
      </c>
      <c r="J10" s="47">
        <f t="shared" si="0"/>
        <v>1425000</v>
      </c>
      <c r="K10" s="47">
        <f t="shared" si="0"/>
        <v>1425000</v>
      </c>
      <c r="L10" s="47">
        <f t="shared" si="0"/>
        <v>1425000</v>
      </c>
      <c r="M10" s="47">
        <f t="shared" si="0"/>
        <v>1425000</v>
      </c>
      <c r="N10" s="47">
        <f t="shared" si="0"/>
        <v>1425000</v>
      </c>
      <c r="O10" s="47">
        <f t="shared" si="0"/>
        <v>1425000</v>
      </c>
      <c r="P10" s="47">
        <f t="shared" si="0"/>
        <v>1425000</v>
      </c>
      <c r="Q10" s="37"/>
      <c r="R10" s="37"/>
      <c r="S10" s="37"/>
      <c r="T10" s="37"/>
      <c r="U10" s="37"/>
    </row>
    <row r="11" spans="1:16" ht="14.25" customHeight="1">
      <c r="A11" s="35" t="s">
        <v>116</v>
      </c>
      <c r="B11" s="35" t="s">
        <v>193</v>
      </c>
      <c r="C11" s="36">
        <f aca="true" t="shared" si="1" ref="C11:P11">C10/C8</f>
        <v>0.2615245725142706</v>
      </c>
      <c r="D11" s="36" t="e">
        <f t="shared" si="1"/>
        <v>#REF!</v>
      </c>
      <c r="E11" s="36">
        <f t="shared" si="1"/>
        <v>-0.13466824167170302</v>
      </c>
      <c r="F11" s="36">
        <f t="shared" si="1"/>
        <v>0.21403232059309296</v>
      </c>
      <c r="G11" s="36">
        <f t="shared" si="1"/>
        <v>0.16562269269025964</v>
      </c>
      <c r="H11" s="36">
        <f t="shared" si="1"/>
        <v>0.14526280943972333</v>
      </c>
      <c r="I11" s="36">
        <f t="shared" si="1"/>
        <v>0.1292517006802721</v>
      </c>
      <c r="J11" s="36">
        <f t="shared" si="1"/>
        <v>0.1292517006802721</v>
      </c>
      <c r="K11" s="36">
        <f t="shared" si="1"/>
        <v>0.1292517006802721</v>
      </c>
      <c r="L11" s="36">
        <f t="shared" si="1"/>
        <v>0.1292517006802721</v>
      </c>
      <c r="M11" s="36">
        <f t="shared" si="1"/>
        <v>0.1292517006802721</v>
      </c>
      <c r="N11" s="36">
        <f t="shared" si="1"/>
        <v>0.1292517006802721</v>
      </c>
      <c r="O11" s="36">
        <f t="shared" si="1"/>
        <v>0.1292517006802721</v>
      </c>
      <c r="P11" s="36">
        <f t="shared" si="1"/>
        <v>0.1292517006802721</v>
      </c>
    </row>
    <row r="12" spans="1:16" ht="12.75">
      <c r="A12" s="2" t="s">
        <v>194</v>
      </c>
      <c r="B12" s="2" t="s">
        <v>195</v>
      </c>
      <c r="C12" s="45">
        <v>168000</v>
      </c>
      <c r="D12" s="45" t="e">
        <f>#REF!</f>
        <v>#REF!</v>
      </c>
      <c r="E12" s="93">
        <v>215000</v>
      </c>
      <c r="F12" s="93">
        <v>234907</v>
      </c>
      <c r="G12" s="93">
        <v>212684</v>
      </c>
      <c r="H12" s="93">
        <v>183258</v>
      </c>
      <c r="I12" s="93">
        <v>156688</v>
      </c>
      <c r="J12" s="93">
        <v>127626</v>
      </c>
      <c r="K12" s="93">
        <v>98563</v>
      </c>
      <c r="L12" s="45">
        <f>'NOWY harm. poż. - wariant II'!I53</f>
        <v>35619.39212328767</v>
      </c>
      <c r="M12" s="45">
        <f>'NOWY harm. poż. - wariant II'!J53</f>
        <v>8398.835616438355</v>
      </c>
      <c r="N12" s="45">
        <f>'NOWY harm. poż. - wariant II'!K53</f>
        <v>0</v>
      </c>
      <c r="O12" s="45"/>
      <c r="P12" s="45"/>
    </row>
    <row r="13" spans="1:16" ht="12.75">
      <c r="A13" s="2"/>
      <c r="B13" s="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2.75">
      <c r="A14" s="2" t="s">
        <v>196</v>
      </c>
      <c r="B14" s="2" t="s">
        <v>335</v>
      </c>
      <c r="C14" s="45">
        <v>1300000</v>
      </c>
      <c r="D14" s="45">
        <f>'akcja kredytowa - Wersja I'!D14</f>
        <v>1252500</v>
      </c>
      <c r="E14" s="45">
        <f>'NOWE prognoza długu-Wersja II'!E15</f>
        <v>1850000</v>
      </c>
      <c r="F14" s="45">
        <v>1200000</v>
      </c>
      <c r="G14" s="45">
        <v>1180000</v>
      </c>
      <c r="H14" s="45">
        <v>1080000</v>
      </c>
      <c r="I14" s="45">
        <v>930000</v>
      </c>
      <c r="J14" s="45">
        <v>930000</v>
      </c>
      <c r="K14" s="45">
        <v>930000</v>
      </c>
      <c r="L14" s="45">
        <v>930000</v>
      </c>
      <c r="M14" s="45">
        <v>560800</v>
      </c>
      <c r="N14" s="45"/>
      <c r="O14" s="45"/>
      <c r="P14" s="45"/>
    </row>
    <row r="15" spans="1:16" ht="12.75">
      <c r="A15" s="2" t="s">
        <v>344</v>
      </c>
      <c r="B15" s="2" t="s">
        <v>345</v>
      </c>
      <c r="C15" s="45"/>
      <c r="D15" s="45"/>
      <c r="E15" s="45"/>
      <c r="F15" s="45">
        <v>200000</v>
      </c>
      <c r="G15" s="45">
        <f aca="true" t="shared" si="2" ref="G15:L15">G41</f>
        <v>0</v>
      </c>
      <c r="H15" s="45">
        <f t="shared" si="2"/>
        <v>0</v>
      </c>
      <c r="I15" s="45">
        <f t="shared" si="2"/>
        <v>0</v>
      </c>
      <c r="J15" s="45">
        <f t="shared" si="2"/>
        <v>0</v>
      </c>
      <c r="K15" s="45">
        <f t="shared" si="2"/>
        <v>0</v>
      </c>
      <c r="L15" s="45">
        <f t="shared" si="2"/>
        <v>0</v>
      </c>
      <c r="M15" s="45">
        <v>560800</v>
      </c>
      <c r="N15" s="45"/>
      <c r="O15" s="45"/>
      <c r="P15" s="45"/>
    </row>
    <row r="16" spans="1:16" ht="12.75">
      <c r="A16" s="38" t="s">
        <v>197</v>
      </c>
      <c r="B16" s="38" t="s">
        <v>198</v>
      </c>
      <c r="C16" s="46">
        <f aca="true" t="shared" si="3" ref="C16:P16">C10-C12-C14</f>
        <v>1679148</v>
      </c>
      <c r="D16" s="46" t="e">
        <f t="shared" si="3"/>
        <v>#REF!</v>
      </c>
      <c r="E16" s="46">
        <f t="shared" si="3"/>
        <v>-3535658</v>
      </c>
      <c r="F16" s="46">
        <f t="shared" si="3"/>
        <v>902638</v>
      </c>
      <c r="G16" s="46">
        <f t="shared" si="3"/>
        <v>416440</v>
      </c>
      <c r="H16" s="46">
        <f t="shared" si="3"/>
        <v>325262</v>
      </c>
      <c r="I16" s="46">
        <f t="shared" si="3"/>
        <v>338312</v>
      </c>
      <c r="J16" s="46">
        <f t="shared" si="3"/>
        <v>367374</v>
      </c>
      <c r="K16" s="46">
        <f t="shared" si="3"/>
        <v>396437</v>
      </c>
      <c r="L16" s="46">
        <f t="shared" si="3"/>
        <v>459380.6078767122</v>
      </c>
      <c r="M16" s="46">
        <f t="shared" si="3"/>
        <v>855801.1643835616</v>
      </c>
      <c r="N16" s="46">
        <f t="shared" si="3"/>
        <v>1425000</v>
      </c>
      <c r="O16" s="46">
        <f t="shared" si="3"/>
        <v>1425000</v>
      </c>
      <c r="P16" s="46">
        <f t="shared" si="3"/>
        <v>1425000</v>
      </c>
    </row>
    <row r="17" spans="1:16" ht="25.5">
      <c r="A17" s="38" t="s">
        <v>274</v>
      </c>
      <c r="B17" s="38" t="s">
        <v>334</v>
      </c>
      <c r="C17" s="46">
        <v>5775717</v>
      </c>
      <c r="D17" s="46" t="e">
        <f>#REF!</f>
        <v>#REF!</v>
      </c>
      <c r="E17" s="46">
        <f>'NOWE - Pl. Wydatków'!F121</f>
        <v>1780142</v>
      </c>
      <c r="F17" s="190">
        <f aca="true" t="shared" si="4" ref="F17:P17">F16</f>
        <v>902638</v>
      </c>
      <c r="G17" s="190">
        <f t="shared" si="4"/>
        <v>416440</v>
      </c>
      <c r="H17" s="190">
        <f t="shared" si="4"/>
        <v>325262</v>
      </c>
      <c r="I17" s="190">
        <f t="shared" si="4"/>
        <v>338312</v>
      </c>
      <c r="J17" s="190">
        <f t="shared" si="4"/>
        <v>367374</v>
      </c>
      <c r="K17" s="190">
        <f t="shared" si="4"/>
        <v>396437</v>
      </c>
      <c r="L17" s="190">
        <f t="shared" si="4"/>
        <v>459380.6078767122</v>
      </c>
      <c r="M17" s="190">
        <f t="shared" si="4"/>
        <v>855801.1643835616</v>
      </c>
      <c r="N17" s="190">
        <f t="shared" si="4"/>
        <v>1425000</v>
      </c>
      <c r="O17" s="190">
        <f t="shared" si="4"/>
        <v>1425000</v>
      </c>
      <c r="P17" s="190">
        <f t="shared" si="4"/>
        <v>1425000</v>
      </c>
    </row>
    <row r="18" spans="1:16" ht="12.75">
      <c r="A18" s="35" t="s">
        <v>199</v>
      </c>
      <c r="B18" s="35" t="s">
        <v>200</v>
      </c>
      <c r="C18" s="47">
        <f>-(C10-C12-C14-C17)</f>
        <v>4096569</v>
      </c>
      <c r="D18" s="47" t="e">
        <f>-(D10-D12-D14-D17)</f>
        <v>#REF!</v>
      </c>
      <c r="E18" s="47">
        <f>-(E10-E12-E14-E17)</f>
        <v>5315800</v>
      </c>
      <c r="F18" s="47">
        <f aca="true" t="shared" si="5" ref="F18:P18">F10-F12-F14+F19-F17</f>
        <v>0</v>
      </c>
      <c r="G18" s="47">
        <f t="shared" si="5"/>
        <v>0</v>
      </c>
      <c r="H18" s="47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47">
        <f t="shared" si="5"/>
        <v>0</v>
      </c>
      <c r="M18" s="47">
        <f t="shared" si="5"/>
        <v>0</v>
      </c>
      <c r="N18" s="47">
        <f t="shared" si="5"/>
        <v>0</v>
      </c>
      <c r="O18" s="47">
        <f t="shared" si="5"/>
        <v>0</v>
      </c>
      <c r="P18" s="47">
        <f t="shared" si="5"/>
        <v>0</v>
      </c>
    </row>
    <row r="19" spans="1:16" ht="12.75">
      <c r="A19" s="39" t="s">
        <v>201</v>
      </c>
      <c r="B19" s="39" t="s">
        <v>202</v>
      </c>
      <c r="C19" s="48">
        <f aca="true" t="shared" si="6" ref="C19:P19">C20+C22+C23</f>
        <v>4175000</v>
      </c>
      <c r="D19" s="48">
        <f t="shared" si="6"/>
        <v>0</v>
      </c>
      <c r="E19" s="48">
        <f t="shared" si="6"/>
        <v>5315800</v>
      </c>
      <c r="F19" s="48">
        <f t="shared" si="6"/>
        <v>0</v>
      </c>
      <c r="G19" s="48">
        <f t="shared" si="6"/>
        <v>0</v>
      </c>
      <c r="H19" s="48">
        <f t="shared" si="6"/>
        <v>0</v>
      </c>
      <c r="I19" s="48">
        <f t="shared" si="6"/>
        <v>0</v>
      </c>
      <c r="J19" s="48">
        <f t="shared" si="6"/>
        <v>0</v>
      </c>
      <c r="K19" s="48">
        <f t="shared" si="6"/>
        <v>0</v>
      </c>
      <c r="L19" s="48">
        <f t="shared" si="6"/>
        <v>0</v>
      </c>
      <c r="M19" s="48">
        <f t="shared" si="6"/>
        <v>0</v>
      </c>
      <c r="N19" s="48">
        <f t="shared" si="6"/>
        <v>0</v>
      </c>
      <c r="O19" s="48">
        <f t="shared" si="6"/>
        <v>0</v>
      </c>
      <c r="P19" s="48">
        <f t="shared" si="6"/>
        <v>0</v>
      </c>
    </row>
    <row r="20" spans="1:16" ht="12.75">
      <c r="A20" s="2" t="s">
        <v>203</v>
      </c>
      <c r="B20" s="2" t="s">
        <v>204</v>
      </c>
      <c r="C20" s="45">
        <v>4175000</v>
      </c>
      <c r="D20" s="45">
        <v>0</v>
      </c>
      <c r="E20" s="45">
        <f>E21</f>
        <v>5315800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2.75">
      <c r="A21" s="2" t="s">
        <v>346</v>
      </c>
      <c r="B21" s="2" t="s">
        <v>345</v>
      </c>
      <c r="C21" s="45"/>
      <c r="D21" s="45"/>
      <c r="E21" s="45">
        <v>5315800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2.75">
      <c r="A22" s="2" t="s">
        <v>205</v>
      </c>
      <c r="B22" s="2" t="s">
        <v>206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25.5">
      <c r="A23" s="2" t="s">
        <v>207</v>
      </c>
      <c r="B23" s="2" t="s">
        <v>208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25.5">
      <c r="A24" s="41" t="s">
        <v>209</v>
      </c>
      <c r="B24" s="41" t="s">
        <v>213</v>
      </c>
      <c r="C24" s="42">
        <f aca="true" t="shared" si="7" ref="C24:P24">(C12+C14)/C8</f>
        <v>0.12198920179506945</v>
      </c>
      <c r="D24" s="42" t="e">
        <f t="shared" si="7"/>
        <v>#REF!</v>
      </c>
      <c r="E24" s="42">
        <f t="shared" si="7"/>
        <v>0.18909217442265078</v>
      </c>
      <c r="F24" s="42">
        <f t="shared" si="7"/>
        <v>0.13138419797063725</v>
      </c>
      <c r="G24" s="42">
        <f t="shared" si="7"/>
        <v>0.1274982113700562</v>
      </c>
      <c r="H24" s="42">
        <f t="shared" si="7"/>
        <v>0.11551910339637272</v>
      </c>
      <c r="I24" s="42">
        <f t="shared" si="7"/>
        <v>0.09856580498866213</v>
      </c>
      <c r="J24" s="42">
        <f t="shared" si="7"/>
        <v>0.09592979591836735</v>
      </c>
      <c r="K24" s="42">
        <f t="shared" si="7"/>
        <v>0.09329369614512471</v>
      </c>
      <c r="L24" s="42">
        <f t="shared" si="7"/>
        <v>0.08758452536265647</v>
      </c>
      <c r="M24" s="42">
        <f t="shared" si="7"/>
        <v>0.05162801230081073</v>
      </c>
      <c r="N24" s="42">
        <f t="shared" si="7"/>
        <v>0</v>
      </c>
      <c r="O24" s="42">
        <f t="shared" si="7"/>
        <v>0</v>
      </c>
      <c r="P24" s="42">
        <f t="shared" si="7"/>
        <v>0</v>
      </c>
    </row>
    <row r="25" spans="1:16" ht="25.5">
      <c r="A25" s="40" t="s">
        <v>210</v>
      </c>
      <c r="B25" s="40" t="s">
        <v>333</v>
      </c>
      <c r="C25" s="43">
        <v>6236708</v>
      </c>
      <c r="D25" s="44">
        <f>D27+D29+D28</f>
        <v>6166049</v>
      </c>
      <c r="E25" s="44">
        <f aca="true" t="shared" si="8" ref="E25:P25">E27+E29</f>
        <v>7740800</v>
      </c>
      <c r="F25" s="44">
        <f t="shared" si="8"/>
        <v>6540800</v>
      </c>
      <c r="G25" s="44">
        <f t="shared" si="8"/>
        <v>5360800</v>
      </c>
      <c r="H25" s="44">
        <f t="shared" si="8"/>
        <v>4280800</v>
      </c>
      <c r="I25" s="44">
        <f t="shared" si="8"/>
        <v>3350800</v>
      </c>
      <c r="J25" s="44">
        <f t="shared" si="8"/>
        <v>2420800</v>
      </c>
      <c r="K25" s="44">
        <f t="shared" si="8"/>
        <v>1490800</v>
      </c>
      <c r="L25" s="44">
        <f t="shared" si="8"/>
        <v>560800</v>
      </c>
      <c r="M25" s="44">
        <f t="shared" si="8"/>
        <v>0</v>
      </c>
      <c r="N25" s="44">
        <f t="shared" si="8"/>
        <v>0</v>
      </c>
      <c r="O25" s="44">
        <f t="shared" si="8"/>
        <v>0</v>
      </c>
      <c r="P25" s="44">
        <f t="shared" si="8"/>
        <v>0</v>
      </c>
    </row>
    <row r="26" spans="1:16" ht="12.75">
      <c r="A26" s="40"/>
      <c r="B26" s="40" t="s">
        <v>138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2.75">
      <c r="A27" s="40"/>
      <c r="B27" s="40" t="s">
        <v>204</v>
      </c>
      <c r="C27" s="43">
        <v>5565000</v>
      </c>
      <c r="D27" s="44">
        <f>C27+D20-D14-37500</f>
        <v>4275000</v>
      </c>
      <c r="E27" s="44">
        <f aca="true" t="shared" si="9" ref="E27:O27">D27+E20-E14</f>
        <v>7740800</v>
      </c>
      <c r="F27" s="44">
        <f t="shared" si="9"/>
        <v>6540800</v>
      </c>
      <c r="G27" s="44">
        <f t="shared" si="9"/>
        <v>5360800</v>
      </c>
      <c r="H27" s="44">
        <f t="shared" si="9"/>
        <v>4280800</v>
      </c>
      <c r="I27" s="44">
        <f t="shared" si="9"/>
        <v>3350800</v>
      </c>
      <c r="J27" s="44">
        <f t="shared" si="9"/>
        <v>2420800</v>
      </c>
      <c r="K27" s="44">
        <f t="shared" si="9"/>
        <v>1490800</v>
      </c>
      <c r="L27" s="44">
        <f t="shared" si="9"/>
        <v>560800</v>
      </c>
      <c r="M27" s="44">
        <f t="shared" si="9"/>
        <v>0</v>
      </c>
      <c r="N27" s="44">
        <f t="shared" si="9"/>
        <v>0</v>
      </c>
      <c r="O27" s="44">
        <f t="shared" si="9"/>
        <v>0</v>
      </c>
      <c r="P27" s="44"/>
    </row>
    <row r="28" spans="1:16" ht="12.75">
      <c r="A28" s="40"/>
      <c r="B28" s="40" t="s">
        <v>449</v>
      </c>
      <c r="C28" s="43"/>
      <c r="D28" s="44">
        <f>Zobowiązania!D21</f>
        <v>13127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38.25">
      <c r="A29" s="40"/>
      <c r="B29" s="40" t="s">
        <v>332</v>
      </c>
      <c r="C29" s="43">
        <v>671708</v>
      </c>
      <c r="D29" s="45">
        <f>'akcja kredytowa - Wersja I'!D29</f>
        <v>1877922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25.5">
      <c r="A30" s="41" t="s">
        <v>211</v>
      </c>
      <c r="B30" s="41" t="s">
        <v>212</v>
      </c>
      <c r="C30" s="42">
        <f aca="true" t="shared" si="10" ref="C30:P30">C25/C8</f>
        <v>0.5182636449243351</v>
      </c>
      <c r="D30" s="42">
        <f t="shared" si="10"/>
        <v>0.5931969908238947</v>
      </c>
      <c r="E30" s="42">
        <f t="shared" si="10"/>
        <v>0.7088255224071938</v>
      </c>
      <c r="F30" s="42">
        <f t="shared" si="10"/>
        <v>0.5988943967005138</v>
      </c>
      <c r="G30" s="42">
        <f t="shared" si="10"/>
        <v>0.4907735074953093</v>
      </c>
      <c r="H30" s="42">
        <f t="shared" si="10"/>
        <v>0.39145936761864353</v>
      </c>
      <c r="I30" s="42">
        <f t="shared" si="10"/>
        <v>0.30392743764172336</v>
      </c>
      <c r="J30" s="42">
        <f t="shared" si="10"/>
        <v>0.2195736961451247</v>
      </c>
      <c r="K30" s="42">
        <f t="shared" si="10"/>
        <v>0.13521995464852607</v>
      </c>
      <c r="L30" s="42">
        <f t="shared" si="10"/>
        <v>0.050866213151927436</v>
      </c>
      <c r="M30" s="42">
        <f t="shared" si="10"/>
        <v>0</v>
      </c>
      <c r="N30" s="42">
        <f t="shared" si="10"/>
        <v>0</v>
      </c>
      <c r="O30" s="42">
        <f t="shared" si="10"/>
        <v>0</v>
      </c>
      <c r="P30" s="42">
        <f t="shared" si="10"/>
        <v>0</v>
      </c>
    </row>
    <row r="31" spans="1:16" ht="12.75">
      <c r="A31" s="2" t="s">
        <v>214</v>
      </c>
      <c r="B31" s="2" t="s">
        <v>215</v>
      </c>
      <c r="C31" s="45">
        <v>2633366</v>
      </c>
      <c r="D31" s="45">
        <f>'akcja kredytowa - Wersja I'!D31</f>
        <v>3711700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20" ht="12.75">
      <c r="A32" s="34"/>
      <c r="B32" s="34"/>
      <c r="C32" s="34"/>
      <c r="D32" s="34"/>
      <c r="E32" s="34"/>
      <c r="F32" s="34"/>
      <c r="G32" s="52"/>
      <c r="H32" s="52"/>
      <c r="I32" s="52"/>
      <c r="J32" s="52"/>
      <c r="K32" s="52"/>
      <c r="L32" s="52"/>
      <c r="M32" s="34"/>
      <c r="N32" s="52"/>
      <c r="O32" s="34"/>
      <c r="P32" s="34"/>
      <c r="Q32" s="34"/>
      <c r="R32" s="34"/>
      <c r="S32" s="34"/>
      <c r="T32" s="34"/>
    </row>
    <row r="33" spans="1:20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24" customHeight="1">
      <c r="A34" s="1"/>
      <c r="B34" s="1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"/>
      <c r="R34" s="1"/>
      <c r="S34" s="1"/>
      <c r="T34" s="1"/>
    </row>
    <row r="35" spans="1:20" ht="12.75">
      <c r="A35" s="1"/>
      <c r="B35" s="2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1"/>
      <c r="Q35" s="1"/>
      <c r="R35" s="1"/>
      <c r="S35" s="1"/>
      <c r="T35" s="1"/>
    </row>
    <row r="36" spans="2:15" ht="12.75"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6" ht="12.75">
      <c r="A37" s="34"/>
      <c r="B37" s="4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4"/>
    </row>
    <row r="38" spans="1:16" ht="12.75">
      <c r="A38" s="34"/>
      <c r="B38" s="49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34"/>
    </row>
    <row r="39" spans="1:16" ht="14.25" customHeight="1">
      <c r="A39" s="34"/>
      <c r="B39" s="49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34"/>
    </row>
    <row r="40" spans="1:16" ht="12.75">
      <c r="A40" s="1"/>
      <c r="B40" s="49"/>
      <c r="C40" s="5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50"/>
      <c r="C41" s="51"/>
      <c r="D41" s="1"/>
      <c r="E41" s="1"/>
      <c r="F41" s="1"/>
      <c r="G41" s="51"/>
      <c r="H41" s="51"/>
      <c r="I41" s="51"/>
      <c r="J41" s="51"/>
      <c r="K41" s="51"/>
      <c r="L41" s="51"/>
      <c r="M41" s="51"/>
      <c r="N41" s="51"/>
      <c r="O41" s="1"/>
      <c r="P41" s="1"/>
    </row>
    <row r="42" spans="2:13" ht="12.75">
      <c r="B42" s="50"/>
      <c r="C42" s="51"/>
      <c r="D42" s="5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</sheetData>
  <printOptions/>
  <pageMargins left="0.75" right="0.75" top="1" bottom="1" header="0.5" footer="0.5"/>
  <pageSetup horizontalDpi="300" verticalDpi="300" orientation="landscape" paperSize="9" scale="75" r:id="rId1"/>
  <rowBreaks count="1" manualBreakCount="1">
    <brk id="3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F1">
      <selection activeCell="O2" sqref="O2"/>
    </sheetView>
  </sheetViews>
  <sheetFormatPr defaultColWidth="9.00390625" defaultRowHeight="12.75"/>
  <cols>
    <col min="1" max="1" width="5.125" style="0" customWidth="1"/>
    <col min="2" max="2" width="32.125" style="0" customWidth="1"/>
    <col min="3" max="3" width="9.75390625" style="0" customWidth="1"/>
    <col min="4" max="4" width="9.625" style="0" customWidth="1"/>
    <col min="5" max="5" width="9.75390625" style="0" customWidth="1"/>
    <col min="6" max="6" width="9.875" style="0" bestFit="1" customWidth="1"/>
    <col min="7" max="7" width="10.25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75390625" style="0" customWidth="1"/>
    <col min="12" max="12" width="10.125" style="0" customWidth="1"/>
    <col min="13" max="13" width="9.625" style="0" customWidth="1"/>
    <col min="14" max="15" width="9.875" style="0" customWidth="1"/>
    <col min="16" max="16" width="9.75390625" style="0" customWidth="1"/>
  </cols>
  <sheetData>
    <row r="1" ht="12.75">
      <c r="O1" t="s">
        <v>445</v>
      </c>
    </row>
    <row r="3" ht="12.75">
      <c r="A3" s="29" t="s">
        <v>444</v>
      </c>
    </row>
    <row r="4" ht="12.75">
      <c r="A4" s="29" t="s">
        <v>241</v>
      </c>
    </row>
    <row r="6" spans="1:16" ht="25.5">
      <c r="A6" s="10" t="s">
        <v>37</v>
      </c>
      <c r="B6" s="10" t="s">
        <v>2</v>
      </c>
      <c r="C6" s="10" t="s">
        <v>3</v>
      </c>
      <c r="D6" s="10" t="s">
        <v>441</v>
      </c>
      <c r="E6" s="10" t="s">
        <v>179</v>
      </c>
      <c r="F6" s="10" t="s">
        <v>180</v>
      </c>
      <c r="G6" s="10" t="s">
        <v>181</v>
      </c>
      <c r="H6" s="10" t="s">
        <v>182</v>
      </c>
      <c r="I6" s="10" t="s">
        <v>183</v>
      </c>
      <c r="J6" s="10" t="s">
        <v>184</v>
      </c>
      <c r="K6" s="10" t="s">
        <v>185</v>
      </c>
      <c r="L6" s="10" t="s">
        <v>186</v>
      </c>
      <c r="M6" s="10" t="s">
        <v>187</v>
      </c>
      <c r="N6" s="10" t="s">
        <v>188</v>
      </c>
      <c r="O6" s="10" t="s">
        <v>189</v>
      </c>
      <c r="P6" s="10" t="s">
        <v>190</v>
      </c>
    </row>
    <row r="7" spans="1:16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</row>
    <row r="8" spans="1:16" ht="12.75">
      <c r="A8" s="64" t="s">
        <v>52</v>
      </c>
      <c r="B8" s="64" t="s">
        <v>242</v>
      </c>
      <c r="C8" s="65">
        <v>12033852</v>
      </c>
      <c r="D8" s="65">
        <f>'NOWA akcja kredytowa-Wersja II'!D8</f>
        <v>10394606</v>
      </c>
      <c r="E8" s="65">
        <f>'akcja kredytowa - Wersja I'!E8</f>
        <v>10920600</v>
      </c>
      <c r="F8" s="65">
        <f>'akcja kredytowa - Wersja I'!F8</f>
        <v>10921458</v>
      </c>
      <c r="G8" s="65">
        <f>'akcja kredytowa - Wersja I'!G8</f>
        <v>10923165</v>
      </c>
      <c r="H8" s="65">
        <f>'akcja kredytowa - Wersja I'!H8</f>
        <v>10935490</v>
      </c>
      <c r="I8" s="65">
        <f>'akcja kredytowa - Wersja I'!I8</f>
        <v>11025000</v>
      </c>
      <c r="J8" s="65">
        <f>'akcja kredytowa - Wersja I'!J8</f>
        <v>11025000</v>
      </c>
      <c r="K8" s="65">
        <f>'akcja kredytowa - Wersja I'!K8</f>
        <v>11025000</v>
      </c>
      <c r="L8" s="65">
        <f>'akcja kredytowa - Wersja I'!L8</f>
        <v>11025000</v>
      </c>
      <c r="M8" s="65">
        <f>'akcja kredytowa - Wersja I'!M8</f>
        <v>11025000</v>
      </c>
      <c r="N8" s="65">
        <f>'akcja kredytowa - Wersja I'!N8</f>
        <v>11025000</v>
      </c>
      <c r="O8" s="65">
        <f>'akcja kredytowa - Wersja I'!O8</f>
        <v>11025000</v>
      </c>
      <c r="P8" s="65">
        <f>'akcja kredytowa - Wersja I'!P8</f>
        <v>11025000</v>
      </c>
    </row>
    <row r="9" spans="1:16" ht="12.75">
      <c r="A9" s="64" t="s">
        <v>73</v>
      </c>
      <c r="B9" s="64" t="s">
        <v>243</v>
      </c>
      <c r="C9" s="65">
        <v>9054704</v>
      </c>
      <c r="D9" s="65">
        <f>'NOWE - Pl. Wydatków'!E115</f>
        <v>8894387</v>
      </c>
      <c r="E9" s="65">
        <f>'akcja kredytowa - Wersja I'!E9+'akcja kredytowa - Wersja I'!E12+'akcja kredytowa - Wersja I'!E17</f>
        <v>13386400</v>
      </c>
      <c r="F9" s="65">
        <f>'akcja kredytowa - Wersja I'!F9+'akcja kredytowa - Wersja I'!F12+'akcja kredytowa - Wersja I'!F17</f>
        <v>9921458</v>
      </c>
      <c r="G9" s="65">
        <f>'akcja kredytowa - Wersja I'!G9+'akcja kredytowa - Wersja I'!G17+'akcja kredytowa - Wersja I'!G12</f>
        <v>9743165</v>
      </c>
      <c r="H9" s="65">
        <f>'akcja kredytowa - Wersja I'!H9+'akcja kredytowa - Wersja I'!H17+'akcja kredytowa - Wersja I'!H12</f>
        <v>9855490</v>
      </c>
      <c r="I9" s="65">
        <f>'akcja kredytowa - Wersja I'!I9+'akcja kredytowa - Wersja I'!I17+'akcja kredytowa - Wersja I'!I12</f>
        <v>10095000</v>
      </c>
      <c r="J9" s="65">
        <f>'akcja kredytowa - Wersja I'!J9+'akcja kredytowa - Wersja I'!J17+'akcja kredytowa - Wersja I'!J12</f>
        <v>10095000</v>
      </c>
      <c r="K9" s="65">
        <f>'akcja kredytowa - Wersja I'!K9+'akcja kredytowa - Wersja I'!K17+'akcja kredytowa - Wersja I'!K12</f>
        <v>10104200</v>
      </c>
      <c r="L9" s="65">
        <f>'akcja kredytowa - Wersja I'!L9+'akcja kredytowa - Wersja I'!L17+'akcja kredytowa - Wersja I'!L12</f>
        <v>10325000</v>
      </c>
      <c r="M9" s="65">
        <f>'akcja kredytowa - Wersja I'!M9+'akcja kredytowa - Wersja I'!M17+'akcja kredytowa - Wersja I'!M12</f>
        <v>11025000</v>
      </c>
      <c r="N9" s="65">
        <f>'akcja kredytowa - Wersja I'!N9+'akcja kredytowa - Wersja I'!N17+'akcja kredytowa - Wersja I'!N12</f>
        <v>11025000</v>
      </c>
      <c r="O9" s="65">
        <f>'akcja kredytowa - Wersja I'!O9+'akcja kredytowa - Wersja I'!O17+'akcja kredytowa - Wersja I'!O12</f>
        <v>11025000</v>
      </c>
      <c r="P9" s="65">
        <f>'akcja kredytowa - Wersja I'!P9+'akcja kredytowa - Wersja I'!P17+'akcja kredytowa - Wersja I'!P12</f>
        <v>11025000</v>
      </c>
    </row>
    <row r="10" spans="1:16" ht="12.75">
      <c r="A10" s="2"/>
      <c r="B10" s="2" t="s">
        <v>170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2.75">
      <c r="A11" s="2" t="s">
        <v>75</v>
      </c>
      <c r="B11" s="2" t="s">
        <v>244</v>
      </c>
      <c r="C11" s="45">
        <f>'NOWE - Pl. Wydatków'!C117</f>
        <v>9054704</v>
      </c>
      <c r="D11" s="45">
        <f>'NOWE - Pl. Wydatków'!E117</f>
        <v>8419454</v>
      </c>
      <c r="E11" s="45">
        <f>'NOWE - Pl. Wydatków'!F117</f>
        <v>12606258</v>
      </c>
      <c r="F11" s="45">
        <f aca="true" t="shared" si="0" ref="F11:P11">F9-F14</f>
        <v>8771945</v>
      </c>
      <c r="G11" s="45">
        <f t="shared" si="0"/>
        <v>9279850</v>
      </c>
      <c r="H11" s="45">
        <f t="shared" si="0"/>
        <v>9483353</v>
      </c>
      <c r="I11" s="45">
        <f t="shared" si="0"/>
        <v>9697806.892123288</v>
      </c>
      <c r="J11" s="45">
        <f t="shared" si="0"/>
        <v>9668744.392123288</v>
      </c>
      <c r="K11" s="45">
        <f t="shared" si="0"/>
        <v>9639681.892123288</v>
      </c>
      <c r="L11" s="45">
        <f t="shared" si="0"/>
        <v>9610887.200342465</v>
      </c>
      <c r="M11" s="45">
        <f t="shared" si="0"/>
        <v>9600000</v>
      </c>
      <c r="N11" s="45">
        <f t="shared" si="0"/>
        <v>9600000</v>
      </c>
      <c r="O11" s="45">
        <f t="shared" si="0"/>
        <v>9600000</v>
      </c>
      <c r="P11" s="45">
        <f t="shared" si="0"/>
        <v>9600000</v>
      </c>
    </row>
    <row r="12" spans="1:16" ht="12.75">
      <c r="A12" s="2"/>
      <c r="B12" s="2" t="s">
        <v>138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2.75">
      <c r="A13" s="2" t="s">
        <v>282</v>
      </c>
      <c r="B13" s="2" t="s">
        <v>283</v>
      </c>
      <c r="C13" s="45">
        <f>'NOWA akcja kredytowa-Wersja II'!C12</f>
        <v>168000</v>
      </c>
      <c r="D13" s="45" t="e">
        <f>'NOWA akcja kredytowa-Wersja II'!D12</f>
        <v>#REF!</v>
      </c>
      <c r="E13" s="45">
        <f>'akcja kredytowa - Wersja I'!E12</f>
        <v>215000</v>
      </c>
      <c r="F13" s="45">
        <f>'akcja kredytowa - Wersja I'!F12</f>
        <v>188032</v>
      </c>
      <c r="G13" s="45">
        <f>'akcja kredytowa - Wersja I'!G12</f>
        <v>165809</v>
      </c>
      <c r="H13" s="45">
        <f>'akcja kredytowa - Wersja I'!H12</f>
        <v>136383</v>
      </c>
      <c r="I13" s="45">
        <f>'akcja kredytowa - Wersja I'!I12</f>
        <v>97806.89212328767</v>
      </c>
      <c r="J13" s="45">
        <f>'akcja kredytowa - Wersja I'!J12</f>
        <v>68744.39212328766</v>
      </c>
      <c r="K13" s="45">
        <f>'akcja kredytowa - Wersja I'!K12</f>
        <v>39681.892123287675</v>
      </c>
      <c r="L13" s="45">
        <f>'akcja kredytowa - Wersja I'!L12</f>
        <v>10887.200342465754</v>
      </c>
      <c r="M13" s="45">
        <f>'akcja kredytowa - Wersja I'!M12</f>
        <v>0</v>
      </c>
      <c r="N13" s="45">
        <f>'akcja kredytowa - Wersja I'!N12</f>
        <v>0</v>
      </c>
      <c r="O13" s="45">
        <f>'NOWA akcja kredytowa-Wersja II'!O12</f>
        <v>0</v>
      </c>
      <c r="P13" s="45">
        <f>'NOWA akcja kredytowa-Wersja II'!P12</f>
        <v>0</v>
      </c>
    </row>
    <row r="14" spans="1:16" ht="12.75">
      <c r="A14" s="2" t="s">
        <v>106</v>
      </c>
      <c r="B14" s="2" t="s">
        <v>245</v>
      </c>
      <c r="C14" s="45">
        <v>5775717</v>
      </c>
      <c r="D14" s="45">
        <v>354659</v>
      </c>
      <c r="E14" s="45">
        <f>'akcja kredytowa - Wersja I'!E17</f>
        <v>780142</v>
      </c>
      <c r="F14" s="45">
        <f>'akcja kredytowa - Wersja I'!F17</f>
        <v>1149513</v>
      </c>
      <c r="G14" s="45">
        <f>'akcja kredytowa - Wersja I'!G17</f>
        <v>463315</v>
      </c>
      <c r="H14" s="45">
        <f>'akcja kredytowa - Wersja I'!H17</f>
        <v>372137</v>
      </c>
      <c r="I14" s="45">
        <f>'akcja kredytowa - Wersja I'!I17</f>
        <v>397193.1078767122</v>
      </c>
      <c r="J14" s="45">
        <f>'akcja kredytowa - Wersja I'!J17</f>
        <v>426255.60787671246</v>
      </c>
      <c r="K14" s="45">
        <f>'akcja kredytowa - Wersja I'!K17</f>
        <v>464518.1078767122</v>
      </c>
      <c r="L14" s="45">
        <f>'akcja kredytowa - Wersja I'!L17</f>
        <v>714112.7996575343</v>
      </c>
      <c r="M14" s="45">
        <f>'akcja kredytowa - Wersja I'!M17</f>
        <v>1425000</v>
      </c>
      <c r="N14" s="45">
        <f>'akcja kredytowa - Wersja I'!N17</f>
        <v>1425000</v>
      </c>
      <c r="O14" s="45">
        <f>'akcja kredytowa - Wersja I'!O17</f>
        <v>1425000</v>
      </c>
      <c r="P14" s="45">
        <f>'akcja kredytowa - Wersja I'!P17</f>
        <v>1425000</v>
      </c>
    </row>
    <row r="15" spans="1:16" ht="12.75">
      <c r="A15" s="35" t="s">
        <v>111</v>
      </c>
      <c r="B15" s="35" t="s">
        <v>246</v>
      </c>
      <c r="C15" s="47">
        <f aca="true" t="shared" si="1" ref="C15:P15">C17+C18+C19+C20</f>
        <v>1300000</v>
      </c>
      <c r="D15" s="47">
        <f t="shared" si="1"/>
        <v>1252500</v>
      </c>
      <c r="E15" s="47">
        <f t="shared" si="1"/>
        <v>1850000</v>
      </c>
      <c r="F15" s="47">
        <f t="shared" si="1"/>
        <v>1000000</v>
      </c>
      <c r="G15" s="47">
        <f t="shared" si="1"/>
        <v>1180000</v>
      </c>
      <c r="H15" s="47">
        <f t="shared" si="1"/>
        <v>1080000</v>
      </c>
      <c r="I15" s="47">
        <f t="shared" si="1"/>
        <v>930000</v>
      </c>
      <c r="J15" s="47">
        <f t="shared" si="1"/>
        <v>930000</v>
      </c>
      <c r="K15" s="47">
        <f t="shared" si="1"/>
        <v>920800</v>
      </c>
      <c r="L15" s="47">
        <f t="shared" si="1"/>
        <v>700000</v>
      </c>
      <c r="M15" s="47">
        <f t="shared" si="1"/>
        <v>0</v>
      </c>
      <c r="N15" s="47">
        <f t="shared" si="1"/>
        <v>0</v>
      </c>
      <c r="O15" s="47">
        <f t="shared" si="1"/>
        <v>0</v>
      </c>
      <c r="P15" s="47">
        <f t="shared" si="1"/>
        <v>0</v>
      </c>
    </row>
    <row r="16" spans="1:16" ht="12.75">
      <c r="A16" s="2"/>
      <c r="B16" s="2" t="s">
        <v>170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2.75">
      <c r="A17" s="2" t="s">
        <v>112</v>
      </c>
      <c r="B17" s="2" t="s">
        <v>247</v>
      </c>
      <c r="C17" s="45">
        <v>1200000</v>
      </c>
      <c r="D17" s="45">
        <v>950000</v>
      </c>
      <c r="E17" s="45">
        <v>950000</v>
      </c>
      <c r="F17" s="45">
        <v>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2.75">
      <c r="A18" s="2" t="s">
        <v>114</v>
      </c>
      <c r="B18" s="2" t="s">
        <v>248</v>
      </c>
      <c r="C18" s="45">
        <v>100000</v>
      </c>
      <c r="D18" s="45">
        <v>302500</v>
      </c>
      <c r="E18" s="45">
        <v>900000</v>
      </c>
      <c r="F18" s="45">
        <f>'akcja kredytowa - Wersja I'!F14</f>
        <v>1000000</v>
      </c>
      <c r="G18" s="45">
        <f>'akcja kredytowa - Wersja I'!G14</f>
        <v>1180000</v>
      </c>
      <c r="H18" s="45">
        <f>'akcja kredytowa - Wersja I'!H14</f>
        <v>1080000</v>
      </c>
      <c r="I18" s="45">
        <f>'akcja kredytowa - Wersja I'!I14</f>
        <v>930000</v>
      </c>
      <c r="J18" s="45">
        <f>'akcja kredytowa - Wersja I'!J14</f>
        <v>930000</v>
      </c>
      <c r="K18" s="45">
        <f>'akcja kredytowa - Wersja I'!K14</f>
        <v>920800</v>
      </c>
      <c r="L18" s="45">
        <f>'akcja kredytowa - Wersja I'!L14</f>
        <v>700000</v>
      </c>
      <c r="M18" s="45">
        <f>'akcja kredytowa - Wersja I'!M14</f>
        <v>0</v>
      </c>
      <c r="N18" s="45"/>
      <c r="O18" s="45"/>
      <c r="P18" s="45"/>
    </row>
    <row r="19" spans="1:16" ht="12.75">
      <c r="A19" s="2" t="s">
        <v>250</v>
      </c>
      <c r="B19" s="2" t="s">
        <v>251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2.75">
      <c r="A20" s="2" t="s">
        <v>252</v>
      </c>
      <c r="B20" s="2" t="s">
        <v>253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2.75">
      <c r="A21" s="2" t="s">
        <v>269</v>
      </c>
      <c r="B21" s="2" t="s">
        <v>456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2.75">
      <c r="A22" s="2" t="s">
        <v>270</v>
      </c>
      <c r="B22" s="2" t="s">
        <v>271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12.75">
      <c r="A23" s="2"/>
      <c r="B23" s="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2.75">
      <c r="A24" s="35" t="s">
        <v>116</v>
      </c>
      <c r="B24" s="35" t="s">
        <v>249</v>
      </c>
      <c r="C24" s="47">
        <f aca="true" t="shared" si="2" ref="C24:P24">C8-C9-C15</f>
        <v>1679148</v>
      </c>
      <c r="D24" s="47">
        <f t="shared" si="2"/>
        <v>247719</v>
      </c>
      <c r="E24" s="47">
        <f t="shared" si="2"/>
        <v>-4315800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47">
        <f t="shared" si="2"/>
        <v>0</v>
      </c>
      <c r="L24" s="47">
        <f t="shared" si="2"/>
        <v>0</v>
      </c>
      <c r="M24" s="47">
        <f t="shared" si="2"/>
        <v>0</v>
      </c>
      <c r="N24" s="47">
        <f t="shared" si="2"/>
        <v>0</v>
      </c>
      <c r="O24" s="47">
        <f t="shared" si="2"/>
        <v>0</v>
      </c>
      <c r="P24" s="47">
        <f t="shared" si="2"/>
        <v>0</v>
      </c>
    </row>
    <row r="25" spans="1:16" ht="12.75">
      <c r="A25" s="35" t="s">
        <v>194</v>
      </c>
      <c r="B25" s="35" t="s">
        <v>254</v>
      </c>
      <c r="C25" s="47">
        <f aca="true" t="shared" si="3" ref="C25:P25">C27+C28+C29+C30+C31+C32+C33</f>
        <v>4175000</v>
      </c>
      <c r="D25" s="47">
        <f t="shared" si="3"/>
        <v>0</v>
      </c>
      <c r="E25" s="47">
        <f t="shared" si="3"/>
        <v>4315800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47">
        <f t="shared" si="3"/>
        <v>0</v>
      </c>
      <c r="J25" s="47">
        <f t="shared" si="3"/>
        <v>0</v>
      </c>
      <c r="K25" s="47">
        <f t="shared" si="3"/>
        <v>0</v>
      </c>
      <c r="L25" s="47">
        <f t="shared" si="3"/>
        <v>0</v>
      </c>
      <c r="M25" s="47">
        <f t="shared" si="3"/>
        <v>0</v>
      </c>
      <c r="N25" s="47">
        <f t="shared" si="3"/>
        <v>0</v>
      </c>
      <c r="O25" s="47">
        <f t="shared" si="3"/>
        <v>0</v>
      </c>
      <c r="P25" s="47">
        <f t="shared" si="3"/>
        <v>0</v>
      </c>
    </row>
    <row r="26" spans="1:16" s="68" customFormat="1" ht="12.75">
      <c r="A26" s="66"/>
      <c r="B26" s="69" t="s">
        <v>170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ht="12.75">
      <c r="A27" s="2" t="s">
        <v>255</v>
      </c>
      <c r="B27" s="2" t="s">
        <v>256</v>
      </c>
      <c r="C27" s="45">
        <v>700000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2.75">
      <c r="A28" s="2" t="s">
        <v>257</v>
      </c>
      <c r="B28" s="2" t="s">
        <v>258</v>
      </c>
      <c r="C28" s="45">
        <v>3475000</v>
      </c>
      <c r="D28" s="45"/>
      <c r="E28" s="45">
        <f>'akcja kredytowa - Wersja I'!E21</f>
        <v>4315800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2.75">
      <c r="A29" s="2" t="s">
        <v>259</v>
      </c>
      <c r="B29" s="2" t="s">
        <v>260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2.75">
      <c r="A30" s="2" t="s">
        <v>261</v>
      </c>
      <c r="B30" s="2" t="s">
        <v>262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2.75">
      <c r="A31" s="2" t="s">
        <v>263</v>
      </c>
      <c r="B31" s="2" t="s">
        <v>264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ht="25.5">
      <c r="A32" s="2" t="s">
        <v>265</v>
      </c>
      <c r="B32" s="2" t="s">
        <v>266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ht="12.75">
      <c r="A33" s="2" t="s">
        <v>267</v>
      </c>
      <c r="B33" s="2" t="s">
        <v>268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2.75">
      <c r="A34" s="2"/>
      <c r="B34" s="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12.75">
      <c r="A35" s="64" t="s">
        <v>196</v>
      </c>
      <c r="B35" s="64" t="s">
        <v>272</v>
      </c>
      <c r="C35" s="65"/>
      <c r="D35" s="65">
        <v>37500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s="128" customFormat="1" ht="12.75">
      <c r="A36" s="2"/>
      <c r="B36" s="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s="71" customFormat="1" ht="12.75">
      <c r="A37" s="35" t="s">
        <v>197</v>
      </c>
      <c r="B37" s="35" t="s">
        <v>273</v>
      </c>
      <c r="C37" s="47">
        <f>C39+C40+C41+C42+C43</f>
        <v>6236708</v>
      </c>
      <c r="D37" s="47">
        <f>'akcja kredytowa - Wersja I'!D25</f>
        <v>6166049</v>
      </c>
      <c r="E37" s="47">
        <f>D39+D40+E25-E15</f>
        <v>6740800</v>
      </c>
      <c r="F37" s="47">
        <f aca="true" t="shared" si="4" ref="F37:P37">E37+F25-F15</f>
        <v>5740800</v>
      </c>
      <c r="G37" s="47">
        <f t="shared" si="4"/>
        <v>4560800</v>
      </c>
      <c r="H37" s="47">
        <f t="shared" si="4"/>
        <v>3480800</v>
      </c>
      <c r="I37" s="47">
        <f t="shared" si="4"/>
        <v>2550800</v>
      </c>
      <c r="J37" s="47">
        <f t="shared" si="4"/>
        <v>1620800</v>
      </c>
      <c r="K37" s="47">
        <f t="shared" si="4"/>
        <v>700000</v>
      </c>
      <c r="L37" s="47">
        <f t="shared" si="4"/>
        <v>0</v>
      </c>
      <c r="M37" s="47">
        <f t="shared" si="4"/>
        <v>0</v>
      </c>
      <c r="N37" s="47">
        <f t="shared" si="4"/>
        <v>0</v>
      </c>
      <c r="O37" s="47">
        <f t="shared" si="4"/>
        <v>0</v>
      </c>
      <c r="P37" s="47">
        <f t="shared" si="4"/>
        <v>0</v>
      </c>
    </row>
    <row r="38" spans="1:16" s="128" customFormat="1" ht="12.75">
      <c r="A38" s="2"/>
      <c r="B38" s="2" t="s">
        <v>170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s="128" customFormat="1" ht="12.75">
      <c r="A39" s="2" t="s">
        <v>274</v>
      </c>
      <c r="B39" s="2" t="s">
        <v>256</v>
      </c>
      <c r="C39" s="45">
        <v>1900000</v>
      </c>
      <c r="D39" s="46">
        <f aca="true" t="shared" si="5" ref="D39:P39">C39+D27-D17</f>
        <v>950000</v>
      </c>
      <c r="E39" s="46">
        <f t="shared" si="5"/>
        <v>0</v>
      </c>
      <c r="F39" s="46">
        <f t="shared" si="5"/>
        <v>0</v>
      </c>
      <c r="G39" s="46">
        <f t="shared" si="5"/>
        <v>0</v>
      </c>
      <c r="H39" s="46">
        <f t="shared" si="5"/>
        <v>0</v>
      </c>
      <c r="I39" s="46">
        <f t="shared" si="5"/>
        <v>0</v>
      </c>
      <c r="J39" s="46">
        <f t="shared" si="5"/>
        <v>0</v>
      </c>
      <c r="K39" s="46">
        <f t="shared" si="5"/>
        <v>0</v>
      </c>
      <c r="L39" s="46">
        <f t="shared" si="5"/>
        <v>0</v>
      </c>
      <c r="M39" s="46">
        <f t="shared" si="5"/>
        <v>0</v>
      </c>
      <c r="N39" s="46">
        <f t="shared" si="5"/>
        <v>0</v>
      </c>
      <c r="O39" s="46">
        <f t="shared" si="5"/>
        <v>0</v>
      </c>
      <c r="P39" s="46">
        <f t="shared" si="5"/>
        <v>0</v>
      </c>
    </row>
    <row r="40" spans="1:16" s="128" customFormat="1" ht="12.75">
      <c r="A40" s="2" t="s">
        <v>275</v>
      </c>
      <c r="B40" s="2" t="s">
        <v>258</v>
      </c>
      <c r="C40" s="45">
        <v>3665000</v>
      </c>
      <c r="D40" s="46">
        <f>C40+D28-D18-D35</f>
        <v>3325000</v>
      </c>
      <c r="E40" s="46">
        <f aca="true" t="shared" si="6" ref="E40:P40">D40+E28-E18</f>
        <v>6740800</v>
      </c>
      <c r="F40" s="46">
        <f t="shared" si="6"/>
        <v>5740800</v>
      </c>
      <c r="G40" s="46">
        <f t="shared" si="6"/>
        <v>4560800</v>
      </c>
      <c r="H40" s="46">
        <f t="shared" si="6"/>
        <v>3480800</v>
      </c>
      <c r="I40" s="46">
        <f t="shared" si="6"/>
        <v>2550800</v>
      </c>
      <c r="J40" s="46">
        <f t="shared" si="6"/>
        <v>1620800</v>
      </c>
      <c r="K40" s="46">
        <f t="shared" si="6"/>
        <v>700000</v>
      </c>
      <c r="L40" s="46">
        <f t="shared" si="6"/>
        <v>0</v>
      </c>
      <c r="M40" s="46">
        <f t="shared" si="6"/>
        <v>0</v>
      </c>
      <c r="N40" s="46">
        <f t="shared" si="6"/>
        <v>0</v>
      </c>
      <c r="O40" s="46">
        <f t="shared" si="6"/>
        <v>0</v>
      </c>
      <c r="P40" s="46">
        <f t="shared" si="6"/>
        <v>0</v>
      </c>
    </row>
    <row r="41" spans="1:16" s="128" customFormat="1" ht="12.75">
      <c r="A41" s="2" t="s">
        <v>276</v>
      </c>
      <c r="B41" s="2" t="s">
        <v>277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s="128" customFormat="1" ht="12.75">
      <c r="A42" s="2" t="s">
        <v>278</v>
      </c>
      <c r="B42" s="2" t="s">
        <v>279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2.75">
      <c r="A43" s="2" t="s">
        <v>280</v>
      </c>
      <c r="B43" s="2" t="s">
        <v>281</v>
      </c>
      <c r="C43" s="45">
        <v>671708</v>
      </c>
      <c r="D43" s="45">
        <f>'akcja kredytowa - Wersja I'!D29+'akcja kredytowa - Wersja I'!D28</f>
        <v>1891049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25.5">
      <c r="A44" s="41" t="s">
        <v>196</v>
      </c>
      <c r="B44" s="41" t="s">
        <v>213</v>
      </c>
      <c r="C44" s="42">
        <f aca="true" t="shared" si="7" ref="C44:P44">(C13+C15)/C8</f>
        <v>0.12198920179506945</v>
      </c>
      <c r="D44" s="42" t="e">
        <f t="shared" si="7"/>
        <v>#REF!</v>
      </c>
      <c r="E44" s="42">
        <f t="shared" si="7"/>
        <v>0.18909217442265078</v>
      </c>
      <c r="F44" s="42">
        <f t="shared" si="7"/>
        <v>0.10877961532242307</v>
      </c>
      <c r="G44" s="42">
        <f t="shared" si="7"/>
        <v>0.12320687273331493</v>
      </c>
      <c r="H44" s="42">
        <f t="shared" si="7"/>
        <v>0.11123260137405823</v>
      </c>
      <c r="I44" s="42">
        <f t="shared" si="7"/>
        <v>0.09322511493181747</v>
      </c>
      <c r="J44" s="42">
        <f t="shared" si="7"/>
        <v>0.09058906051004877</v>
      </c>
      <c r="K44" s="42">
        <f t="shared" si="7"/>
        <v>0.08711853896809865</v>
      </c>
      <c r="L44" s="42">
        <f t="shared" si="7"/>
        <v>0.064479564656913</v>
      </c>
      <c r="M44" s="42">
        <f t="shared" si="7"/>
        <v>0</v>
      </c>
      <c r="N44" s="42">
        <f t="shared" si="7"/>
        <v>0</v>
      </c>
      <c r="O44" s="42">
        <f t="shared" si="7"/>
        <v>0</v>
      </c>
      <c r="P44" s="42">
        <f t="shared" si="7"/>
        <v>0</v>
      </c>
    </row>
    <row r="45" spans="1:16" ht="25.5">
      <c r="A45" s="41" t="s">
        <v>211</v>
      </c>
      <c r="B45" s="41" t="s">
        <v>212</v>
      </c>
      <c r="C45" s="42">
        <f aca="true" t="shared" si="8" ref="C45:P45">C37/C8</f>
        <v>0.5182636449243351</v>
      </c>
      <c r="D45" s="42">
        <f t="shared" si="8"/>
        <v>0.5931969908238947</v>
      </c>
      <c r="E45" s="42">
        <f t="shared" si="8"/>
        <v>0.6172554621540941</v>
      </c>
      <c r="F45" s="42">
        <f t="shared" si="8"/>
        <v>0.525644103561997</v>
      </c>
      <c r="G45" s="42">
        <f t="shared" si="8"/>
        <v>0.4175346614282582</v>
      </c>
      <c r="H45" s="42">
        <f t="shared" si="8"/>
        <v>0.31830306643780937</v>
      </c>
      <c r="I45" s="42">
        <f t="shared" si="8"/>
        <v>0.23136507936507936</v>
      </c>
      <c r="J45" s="42">
        <f t="shared" si="8"/>
        <v>0.14701133786848072</v>
      </c>
      <c r="K45" s="42">
        <f t="shared" si="8"/>
        <v>0.06349206349206349</v>
      </c>
      <c r="L45" s="42">
        <f t="shared" si="8"/>
        <v>0</v>
      </c>
      <c r="M45" s="42">
        <f t="shared" si="8"/>
        <v>0</v>
      </c>
      <c r="N45" s="42">
        <f t="shared" si="8"/>
        <v>0</v>
      </c>
      <c r="O45" s="42">
        <f t="shared" si="8"/>
        <v>0</v>
      </c>
      <c r="P45" s="42">
        <f t="shared" si="8"/>
        <v>0</v>
      </c>
    </row>
    <row r="46" spans="1:20" ht="12.75">
      <c r="A46" s="34"/>
      <c r="B46" s="34"/>
      <c r="C46" s="34"/>
      <c r="D46" s="34"/>
      <c r="E46" s="34"/>
      <c r="F46" s="52">
        <f aca="true" t="shared" si="9" ref="F46:K46">F8+F25-F9-F15</f>
        <v>0</v>
      </c>
      <c r="G46" s="52">
        <f t="shared" si="9"/>
        <v>0</v>
      </c>
      <c r="H46" s="52">
        <f t="shared" si="9"/>
        <v>0</v>
      </c>
      <c r="I46" s="52">
        <f t="shared" si="9"/>
        <v>0</v>
      </c>
      <c r="J46" s="52">
        <f t="shared" si="9"/>
        <v>0</v>
      </c>
      <c r="K46" s="52">
        <f t="shared" si="9"/>
        <v>0</v>
      </c>
      <c r="L46" s="34"/>
      <c r="M46" s="34"/>
      <c r="N46" s="34"/>
      <c r="O46" s="34"/>
      <c r="P46" s="34"/>
      <c r="Q46" s="34"/>
      <c r="R46" s="34"/>
      <c r="S46" s="34"/>
      <c r="T46" s="34"/>
    </row>
    <row r="47" spans="1:20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5.5">
      <c r="A49" s="1"/>
      <c r="B49" s="2" t="s">
        <v>216</v>
      </c>
      <c r="C49" s="51">
        <f>C50+C51+C52+C53+C54+C55+C56</f>
        <v>5090247.779999999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5" ht="12.75">
      <c r="B50" s="50" t="s">
        <v>219</v>
      </c>
      <c r="C50" s="51">
        <v>900000</v>
      </c>
      <c r="E50" s="74">
        <v>3475000</v>
      </c>
    </row>
    <row r="51" spans="1:16" ht="12.75">
      <c r="A51" s="34"/>
      <c r="B51" s="49" t="s">
        <v>221</v>
      </c>
      <c r="C51" s="52">
        <v>700000</v>
      </c>
      <c r="D51" s="34"/>
      <c r="E51" s="73">
        <v>50000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2.75">
      <c r="A52" s="34"/>
      <c r="B52" s="49" t="s">
        <v>220</v>
      </c>
      <c r="C52" s="52">
        <v>1265205.72</v>
      </c>
      <c r="D52" s="34"/>
      <c r="E52" s="73">
        <v>900000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14.25" customHeight="1">
      <c r="A53" s="34"/>
      <c r="B53" s="49" t="s">
        <v>217</v>
      </c>
      <c r="C53" s="52">
        <v>2225042.06</v>
      </c>
      <c r="D53" s="34"/>
      <c r="E53" s="73">
        <v>1000000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ht="38.25">
      <c r="A54" s="1"/>
      <c r="B54" s="49" t="s">
        <v>218</v>
      </c>
      <c r="C54" s="51">
        <v>0</v>
      </c>
      <c r="D54" s="1"/>
      <c r="E54" s="74">
        <v>1000000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50"/>
      <c r="C55" s="51"/>
      <c r="D55" s="1"/>
      <c r="E55" s="74">
        <v>425000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5" ht="12.75">
      <c r="B56" s="50"/>
      <c r="C56" s="51"/>
      <c r="E56" s="74">
        <f>E50-E51-E52-E53-E54-E55</f>
        <v>100000</v>
      </c>
    </row>
    <row r="57" spans="2:3" ht="12.75">
      <c r="B57" s="1"/>
      <c r="C57" s="51"/>
    </row>
  </sheetData>
  <printOptions/>
  <pageMargins left="0.75" right="0.75" top="1" bottom="1" header="0.5" footer="0.5"/>
  <pageSetup horizontalDpi="300" verticalDpi="300" orientation="landscape" paperSize="9" scale="7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J5" sqref="J5:J23"/>
    </sheetView>
  </sheetViews>
  <sheetFormatPr defaultColWidth="9.00390625" defaultRowHeight="12.75"/>
  <cols>
    <col min="1" max="1" width="9.00390625" style="0" customWidth="1"/>
    <col min="2" max="2" width="28.00390625" style="0" customWidth="1"/>
    <col min="3" max="3" width="10.125" style="0" customWidth="1"/>
    <col min="4" max="5" width="11.25390625" style="0" customWidth="1"/>
    <col min="6" max="6" width="10.625" style="0" customWidth="1"/>
    <col min="7" max="7" width="9.75390625" style="0" customWidth="1"/>
    <col min="8" max="8" width="11.25390625" style="0" customWidth="1"/>
    <col min="9" max="10" width="11.00390625" style="0" customWidth="1"/>
  </cols>
  <sheetData>
    <row r="1" spans="1:15" ht="12.75">
      <c r="A1" s="119" t="s">
        <v>380</v>
      </c>
      <c r="B1" s="8"/>
      <c r="C1" s="8"/>
      <c r="D1" s="8"/>
      <c r="E1" s="8"/>
      <c r="F1" s="8"/>
      <c r="G1" s="8"/>
      <c r="H1" s="8"/>
      <c r="I1" s="8" t="s">
        <v>381</v>
      </c>
      <c r="J1" s="1"/>
      <c r="K1" s="1"/>
      <c r="L1" s="1"/>
      <c r="M1" s="1"/>
      <c r="N1" s="1"/>
      <c r="O1" s="1"/>
    </row>
    <row r="2" spans="1:15" ht="12.75">
      <c r="A2" s="8"/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</row>
    <row r="4" spans="1:15" s="5" customFormat="1" ht="53.2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  <c r="K4" s="4"/>
      <c r="L4" s="4"/>
      <c r="M4" s="4"/>
      <c r="N4" s="4"/>
      <c r="O4" s="4"/>
    </row>
    <row r="5" spans="1:15" ht="25.5">
      <c r="A5" s="3">
        <v>3020</v>
      </c>
      <c r="B5" s="2" t="s">
        <v>9</v>
      </c>
      <c r="C5" s="110">
        <v>22892.83</v>
      </c>
      <c r="D5" s="110">
        <v>1189.15</v>
      </c>
      <c r="E5" s="111">
        <f aca="true" t="shared" si="0" ref="E5:E23">SUM(C5:D5)</f>
        <v>24081.980000000003</v>
      </c>
      <c r="F5" s="110">
        <v>11473</v>
      </c>
      <c r="G5" s="110">
        <v>18469</v>
      </c>
      <c r="H5" s="110">
        <v>3246.2</v>
      </c>
      <c r="I5" s="116">
        <v>22732.56</v>
      </c>
      <c r="J5" s="115">
        <v>32000</v>
      </c>
      <c r="K5" s="1"/>
      <c r="L5" s="1"/>
      <c r="M5" s="1"/>
      <c r="N5" s="1"/>
      <c r="O5" s="1"/>
    </row>
    <row r="6" spans="1:15" ht="12.75">
      <c r="A6" s="3">
        <v>3240</v>
      </c>
      <c r="B6" s="2" t="s">
        <v>352</v>
      </c>
      <c r="C6" s="110"/>
      <c r="D6" s="110"/>
      <c r="E6" s="111"/>
      <c r="F6" s="110">
        <v>300</v>
      </c>
      <c r="G6" s="110">
        <v>300</v>
      </c>
      <c r="H6" s="110">
        <v>0</v>
      </c>
      <c r="I6" s="116">
        <v>300</v>
      </c>
      <c r="J6" s="115">
        <v>300</v>
      </c>
      <c r="K6" s="1"/>
      <c r="L6" s="1"/>
      <c r="M6" s="1"/>
      <c r="N6" s="1"/>
      <c r="O6" s="1"/>
    </row>
    <row r="7" spans="1:15" ht="24.75" customHeight="1">
      <c r="A7" s="3">
        <v>4010</v>
      </c>
      <c r="B7" s="2" t="s">
        <v>10</v>
      </c>
      <c r="C7" s="110">
        <v>296345.48</v>
      </c>
      <c r="D7" s="110">
        <v>62304.26</v>
      </c>
      <c r="E7" s="111">
        <f t="shared" si="0"/>
        <v>358649.74</v>
      </c>
      <c r="F7" s="110">
        <v>341640</v>
      </c>
      <c r="G7" s="110">
        <v>221556</v>
      </c>
      <c r="H7" s="110">
        <v>93211.67</v>
      </c>
      <c r="I7" s="116">
        <v>271418.53</v>
      </c>
      <c r="J7" s="115">
        <v>426000</v>
      </c>
      <c r="K7" s="1"/>
      <c r="L7" s="1"/>
      <c r="M7" s="1"/>
      <c r="N7" s="1"/>
      <c r="O7" s="1"/>
    </row>
    <row r="8" spans="1:15" ht="16.5" customHeight="1">
      <c r="A8" s="3">
        <v>4040</v>
      </c>
      <c r="B8" s="2" t="s">
        <v>11</v>
      </c>
      <c r="C8" s="110">
        <v>25285.93</v>
      </c>
      <c r="D8" s="110">
        <v>28688.71</v>
      </c>
      <c r="E8" s="111">
        <f t="shared" si="0"/>
        <v>53974.64</v>
      </c>
      <c r="F8" s="110">
        <v>28900</v>
      </c>
      <c r="G8" s="110">
        <v>23668.87</v>
      </c>
      <c r="H8" s="110">
        <v>5019.84</v>
      </c>
      <c r="I8" s="116">
        <v>23668.77</v>
      </c>
      <c r="J8" s="115">
        <v>35000</v>
      </c>
      <c r="K8" s="1"/>
      <c r="L8" s="1"/>
      <c r="M8" s="1"/>
      <c r="N8" s="1"/>
      <c r="O8" s="1"/>
    </row>
    <row r="9" spans="1:15" ht="18" customHeight="1">
      <c r="A9" s="3">
        <v>4110</v>
      </c>
      <c r="B9" s="2" t="s">
        <v>12</v>
      </c>
      <c r="C9" s="110">
        <v>65896.19</v>
      </c>
      <c r="D9" s="110">
        <v>55451.52</v>
      </c>
      <c r="E9" s="111">
        <f t="shared" si="0"/>
        <v>121347.70999999999</v>
      </c>
      <c r="F9" s="110">
        <v>82390</v>
      </c>
      <c r="G9" s="110">
        <v>33526.08</v>
      </c>
      <c r="H9" s="110">
        <v>69198.28</v>
      </c>
      <c r="I9" s="116">
        <v>43145.88</v>
      </c>
      <c r="J9" s="115">
        <v>145000</v>
      </c>
      <c r="K9" s="1"/>
      <c r="L9" s="1"/>
      <c r="M9" s="1"/>
      <c r="N9" s="1"/>
      <c r="O9" s="1"/>
    </row>
    <row r="10" spans="1:15" ht="15" customHeight="1">
      <c r="A10" s="3">
        <v>4120</v>
      </c>
      <c r="B10" s="2" t="s">
        <v>13</v>
      </c>
      <c r="C10" s="110">
        <v>9228.08</v>
      </c>
      <c r="D10" s="110">
        <v>9714.99</v>
      </c>
      <c r="E10" s="111">
        <f t="shared" si="0"/>
        <v>18943.07</v>
      </c>
      <c r="F10" s="110">
        <v>13360</v>
      </c>
      <c r="G10" s="110">
        <v>4373.43</v>
      </c>
      <c r="H10" s="110">
        <v>11762.3</v>
      </c>
      <c r="I10" s="116">
        <v>5686.59</v>
      </c>
      <c r="J10" s="115">
        <v>22000</v>
      </c>
      <c r="K10" s="1"/>
      <c r="L10" s="1"/>
      <c r="M10" s="1"/>
      <c r="N10" s="1"/>
      <c r="O10" s="1"/>
    </row>
    <row r="11" spans="1:15" ht="12.75">
      <c r="A11" s="3">
        <v>4210</v>
      </c>
      <c r="B11" s="2" t="s">
        <v>14</v>
      </c>
      <c r="C11" s="110">
        <v>7336.95</v>
      </c>
      <c r="D11" s="110">
        <v>2734.44</v>
      </c>
      <c r="E11" s="111">
        <f t="shared" si="0"/>
        <v>10071.39</v>
      </c>
      <c r="F11" s="110">
        <v>4046</v>
      </c>
      <c r="G11" s="110">
        <v>6064.62</v>
      </c>
      <c r="H11" s="110">
        <v>2029.55</v>
      </c>
      <c r="I11" s="116">
        <v>9650</v>
      </c>
      <c r="J11" s="115">
        <v>5000</v>
      </c>
      <c r="K11" s="1"/>
      <c r="L11" s="1"/>
      <c r="M11" s="1"/>
      <c r="N11" s="1"/>
      <c r="O11" s="1"/>
    </row>
    <row r="12" spans="1:15" ht="25.5">
      <c r="A12" s="3">
        <v>4240</v>
      </c>
      <c r="B12" s="2" t="s">
        <v>15</v>
      </c>
      <c r="C12" s="110"/>
      <c r="D12" s="110"/>
      <c r="E12" s="111">
        <f t="shared" si="0"/>
        <v>0</v>
      </c>
      <c r="F12" s="110">
        <v>1647</v>
      </c>
      <c r="G12" s="110">
        <v>1721.53</v>
      </c>
      <c r="H12" s="110">
        <v>498.65</v>
      </c>
      <c r="I12" s="116">
        <v>2250</v>
      </c>
      <c r="J12" s="115">
        <v>1500</v>
      </c>
      <c r="K12" s="1"/>
      <c r="L12" s="1"/>
      <c r="M12" s="1"/>
      <c r="N12" s="1"/>
      <c r="O12" s="1"/>
    </row>
    <row r="13" spans="1:15" ht="12.75">
      <c r="A13" s="3">
        <v>4260</v>
      </c>
      <c r="B13" s="2" t="s">
        <v>16</v>
      </c>
      <c r="C13" s="110">
        <v>22108.57</v>
      </c>
      <c r="D13" s="110">
        <v>6971.79</v>
      </c>
      <c r="E13" s="111">
        <f t="shared" si="0"/>
        <v>29080.36</v>
      </c>
      <c r="F13" s="110">
        <v>20176</v>
      </c>
      <c r="G13" s="110">
        <v>21488.42</v>
      </c>
      <c r="H13" s="110">
        <v>709.11</v>
      </c>
      <c r="I13" s="116">
        <v>22000</v>
      </c>
      <c r="J13" s="115">
        <v>30000</v>
      </c>
      <c r="K13" s="1"/>
      <c r="L13" s="1"/>
      <c r="M13" s="1"/>
      <c r="N13" s="1"/>
      <c r="O13" s="1"/>
    </row>
    <row r="14" spans="1:15" ht="12.75">
      <c r="A14" s="3">
        <v>4270</v>
      </c>
      <c r="B14" s="2" t="s">
        <v>17</v>
      </c>
      <c r="C14" s="110"/>
      <c r="D14" s="110"/>
      <c r="E14" s="111">
        <f t="shared" si="0"/>
        <v>0</v>
      </c>
      <c r="F14" s="110">
        <v>0</v>
      </c>
      <c r="G14" s="110">
        <v>0</v>
      </c>
      <c r="H14" s="110">
        <v>0</v>
      </c>
      <c r="I14" s="7">
        <v>0</v>
      </c>
      <c r="J14" s="3">
        <v>1000</v>
      </c>
      <c r="K14" s="1"/>
      <c r="L14" s="1"/>
      <c r="M14" s="1"/>
      <c r="N14" s="1"/>
      <c r="O14" s="1"/>
    </row>
    <row r="15" spans="1:15" ht="12.75">
      <c r="A15" s="3">
        <v>4280</v>
      </c>
      <c r="B15" s="2" t="s">
        <v>18</v>
      </c>
      <c r="C15" s="110"/>
      <c r="D15" s="110"/>
      <c r="E15" s="111">
        <f t="shared" si="0"/>
        <v>0</v>
      </c>
      <c r="F15" s="110">
        <v>0</v>
      </c>
      <c r="G15" s="110">
        <v>0</v>
      </c>
      <c r="H15" s="110">
        <v>0</v>
      </c>
      <c r="I15" s="7">
        <v>0</v>
      </c>
      <c r="J15" s="3"/>
      <c r="K15" s="1"/>
      <c r="L15" s="1"/>
      <c r="M15" s="1"/>
      <c r="N15" s="1"/>
      <c r="O15" s="1"/>
    </row>
    <row r="16" spans="1:15" ht="12.75">
      <c r="A16" s="3">
        <v>4300</v>
      </c>
      <c r="B16" s="2" t="s">
        <v>19</v>
      </c>
      <c r="C16" s="110">
        <v>30287.23</v>
      </c>
      <c r="D16" s="110">
        <v>451.97</v>
      </c>
      <c r="E16" s="111">
        <f t="shared" si="0"/>
        <v>30739.2</v>
      </c>
      <c r="F16" s="110">
        <v>6400</v>
      </c>
      <c r="G16" s="110">
        <v>5706</v>
      </c>
      <c r="H16" s="110">
        <v>1881.97</v>
      </c>
      <c r="I16" s="116">
        <v>8000</v>
      </c>
      <c r="J16" s="115">
        <v>12000</v>
      </c>
      <c r="K16" s="1"/>
      <c r="L16" s="1"/>
      <c r="M16" s="1"/>
      <c r="N16" s="1"/>
      <c r="O16" s="1"/>
    </row>
    <row r="17" spans="1:15" ht="12.75">
      <c r="A17" s="3">
        <v>4410</v>
      </c>
      <c r="B17" s="2" t="s">
        <v>20</v>
      </c>
      <c r="C17" s="110">
        <v>33.59</v>
      </c>
      <c r="D17" s="110"/>
      <c r="E17" s="111">
        <f t="shared" si="0"/>
        <v>33.59</v>
      </c>
      <c r="F17" s="110">
        <v>40</v>
      </c>
      <c r="G17" s="110">
        <v>0</v>
      </c>
      <c r="H17" s="110">
        <v>0</v>
      </c>
      <c r="I17" s="7">
        <v>0</v>
      </c>
      <c r="J17" s="3">
        <v>300</v>
      </c>
      <c r="K17" s="1"/>
      <c r="L17" s="1"/>
      <c r="M17" s="1"/>
      <c r="N17" s="1"/>
      <c r="O17" s="1"/>
    </row>
    <row r="18" spans="1:15" ht="12.75">
      <c r="A18" s="3">
        <v>4430</v>
      </c>
      <c r="B18" s="2" t="s">
        <v>360</v>
      </c>
      <c r="C18" s="110">
        <v>20</v>
      </c>
      <c r="D18" s="110"/>
      <c r="E18" s="111">
        <f t="shared" si="0"/>
        <v>20</v>
      </c>
      <c r="F18" s="110">
        <v>211</v>
      </c>
      <c r="G18" s="110">
        <v>211</v>
      </c>
      <c r="H18" s="110">
        <v>0</v>
      </c>
      <c r="I18" s="7">
        <v>211</v>
      </c>
      <c r="J18" s="3">
        <v>310</v>
      </c>
      <c r="K18" s="1"/>
      <c r="L18" s="1"/>
      <c r="M18" s="1"/>
      <c r="N18" s="1"/>
      <c r="O18" s="1"/>
    </row>
    <row r="19" spans="1:15" ht="14.25" customHeight="1">
      <c r="A19" s="3">
        <v>4580</v>
      </c>
      <c r="B19" s="2" t="s">
        <v>354</v>
      </c>
      <c r="C19" s="110"/>
      <c r="D19" s="110"/>
      <c r="E19" s="111"/>
      <c r="F19" s="110">
        <v>0</v>
      </c>
      <c r="G19" s="110">
        <v>1489.08</v>
      </c>
      <c r="H19" s="110">
        <v>0</v>
      </c>
      <c r="I19" s="116">
        <v>1519.21</v>
      </c>
      <c r="J19" s="3">
        <v>0</v>
      </c>
      <c r="K19" s="1"/>
      <c r="L19" s="1"/>
      <c r="M19" s="1"/>
      <c r="N19" s="1"/>
      <c r="O19" s="1"/>
    </row>
    <row r="20" spans="1:15" ht="12.75">
      <c r="A20" s="3">
        <v>4610</v>
      </c>
      <c r="B20" s="2" t="s">
        <v>355</v>
      </c>
      <c r="C20" s="110"/>
      <c r="D20" s="110"/>
      <c r="E20" s="111"/>
      <c r="F20" s="110">
        <v>0</v>
      </c>
      <c r="G20" s="110">
        <v>52.8</v>
      </c>
      <c r="H20" s="110">
        <v>0</v>
      </c>
      <c r="I20" s="116">
        <v>52.8</v>
      </c>
      <c r="J20" s="3"/>
      <c r="K20" s="1"/>
      <c r="L20" s="1"/>
      <c r="M20" s="1"/>
      <c r="N20" s="1"/>
      <c r="O20" s="1"/>
    </row>
    <row r="21" spans="1:15" ht="25.5">
      <c r="A21" s="3">
        <v>4440</v>
      </c>
      <c r="B21" s="2" t="s">
        <v>21</v>
      </c>
      <c r="C21" s="110">
        <v>17785</v>
      </c>
      <c r="D21" s="110"/>
      <c r="E21" s="111">
        <f t="shared" si="0"/>
        <v>17785</v>
      </c>
      <c r="F21" s="110">
        <v>0</v>
      </c>
      <c r="G21" s="110">
        <v>0</v>
      </c>
      <c r="H21" s="110">
        <v>19257</v>
      </c>
      <c r="I21" s="7">
        <v>0</v>
      </c>
      <c r="J21" s="115">
        <v>41090</v>
      </c>
      <c r="K21" s="1"/>
      <c r="L21" s="1"/>
      <c r="M21" s="1"/>
      <c r="N21" s="1"/>
      <c r="O21" s="1"/>
    </row>
    <row r="22" spans="1:15" ht="25.5">
      <c r="A22" s="3">
        <v>6050</v>
      </c>
      <c r="B22" s="2" t="s">
        <v>23</v>
      </c>
      <c r="C22" s="110"/>
      <c r="D22" s="110"/>
      <c r="E22" s="111">
        <f t="shared" si="0"/>
        <v>0</v>
      </c>
      <c r="F22" s="110">
        <v>0</v>
      </c>
      <c r="G22" s="110">
        <v>0</v>
      </c>
      <c r="H22" s="110">
        <v>0</v>
      </c>
      <c r="I22" s="7">
        <v>0</v>
      </c>
      <c r="J22" s="3">
        <v>0</v>
      </c>
      <c r="K22" s="1"/>
      <c r="L22" s="1"/>
      <c r="M22" s="1"/>
      <c r="N22" s="1"/>
      <c r="O22" s="1"/>
    </row>
    <row r="23" spans="1:15" ht="25.5">
      <c r="A23" s="3">
        <v>6060</v>
      </c>
      <c r="B23" s="2" t="s">
        <v>22</v>
      </c>
      <c r="C23" s="110"/>
      <c r="D23" s="110"/>
      <c r="E23" s="111">
        <f t="shared" si="0"/>
        <v>0</v>
      </c>
      <c r="F23" s="110">
        <v>0</v>
      </c>
      <c r="G23" s="110">
        <v>0</v>
      </c>
      <c r="H23" s="110">
        <v>0</v>
      </c>
      <c r="I23" s="7">
        <v>0</v>
      </c>
      <c r="J23" s="3">
        <v>0</v>
      </c>
      <c r="K23" s="1"/>
      <c r="L23" s="1"/>
      <c r="M23" s="1"/>
      <c r="N23" s="1"/>
      <c r="O23" s="1"/>
    </row>
    <row r="24" spans="1:15" ht="12.75">
      <c r="A24" s="196" t="s">
        <v>34</v>
      </c>
      <c r="B24" s="197"/>
      <c r="C24" s="112">
        <f aca="true" t="shared" si="1" ref="C24:J24">SUM(C5:C23)</f>
        <v>497219.85000000003</v>
      </c>
      <c r="D24" s="112">
        <f t="shared" si="1"/>
        <v>167506.83</v>
      </c>
      <c r="E24" s="112">
        <f t="shared" si="1"/>
        <v>664726.6799999998</v>
      </c>
      <c r="F24" s="112">
        <f t="shared" si="1"/>
        <v>510583</v>
      </c>
      <c r="G24" s="112">
        <f t="shared" si="1"/>
        <v>338626.83</v>
      </c>
      <c r="H24" s="112">
        <f t="shared" si="1"/>
        <v>206814.56999999995</v>
      </c>
      <c r="I24" s="126">
        <f>SUM(I5:I23)</f>
        <v>410635.3400000001</v>
      </c>
      <c r="J24" s="112">
        <f t="shared" si="1"/>
        <v>751500</v>
      </c>
      <c r="K24" s="1"/>
      <c r="L24" s="1"/>
      <c r="M24" s="1"/>
      <c r="N24" s="1"/>
      <c r="O24" s="1"/>
    </row>
    <row r="25" spans="1:15" ht="12.75">
      <c r="A25" s="198"/>
      <c r="B25" s="199"/>
      <c r="C25" s="199"/>
      <c r="D25" s="199"/>
      <c r="E25" s="199"/>
      <c r="F25" s="199"/>
      <c r="G25" s="199"/>
      <c r="H25" s="199"/>
      <c r="I25" s="199"/>
      <c r="J25" s="200"/>
      <c r="K25" s="1"/>
      <c r="L25" s="1"/>
      <c r="M25" s="1"/>
      <c r="N25" s="1"/>
      <c r="O25" s="1"/>
    </row>
    <row r="26" spans="1:15" ht="12.75">
      <c r="A26" s="198" t="s">
        <v>26</v>
      </c>
      <c r="B26" s="200"/>
      <c r="C26" s="192">
        <v>128</v>
      </c>
      <c r="D26" s="193"/>
      <c r="E26" s="193"/>
      <c r="F26" s="193"/>
      <c r="G26" s="193"/>
      <c r="H26" s="193"/>
      <c r="I26" s="193"/>
      <c r="J26" s="194"/>
      <c r="K26" s="1"/>
      <c r="L26" s="1"/>
      <c r="M26" s="1"/>
      <c r="N26" s="1"/>
      <c r="O26" s="1"/>
    </row>
    <row r="27" spans="1:15" ht="12.75">
      <c r="A27" s="198" t="s">
        <v>27</v>
      </c>
      <c r="B27" s="200"/>
      <c r="C27" s="195">
        <v>117</v>
      </c>
      <c r="D27" s="219"/>
      <c r="E27" s="219"/>
      <c r="F27" s="219"/>
      <c r="G27" s="219"/>
      <c r="H27" s="219"/>
      <c r="I27" s="219"/>
      <c r="J27" s="220"/>
      <c r="K27" s="1"/>
      <c r="L27" s="1"/>
      <c r="M27" s="1"/>
      <c r="N27" s="1"/>
      <c r="O27" s="1"/>
    </row>
    <row r="28" spans="1:15" ht="12.75">
      <c r="A28" s="3" t="s">
        <v>28</v>
      </c>
      <c r="B28" s="3"/>
      <c r="C28" s="201">
        <v>4235.15</v>
      </c>
      <c r="D28" s="204"/>
      <c r="E28" s="204"/>
      <c r="F28" s="204"/>
      <c r="G28" s="204"/>
      <c r="H28" s="204"/>
      <c r="I28" s="204"/>
      <c r="J28" s="205"/>
      <c r="K28" s="1"/>
      <c r="L28" s="1"/>
      <c r="M28" s="1"/>
      <c r="N28" s="1"/>
      <c r="O28" s="1"/>
    </row>
    <row r="29" spans="1:15" ht="12.75">
      <c r="A29" s="3" t="s">
        <v>29</v>
      </c>
      <c r="B29" s="3"/>
      <c r="C29" s="201">
        <v>4106.85</v>
      </c>
      <c r="D29" s="204"/>
      <c r="E29" s="204"/>
      <c r="F29" s="204"/>
      <c r="G29" s="204"/>
      <c r="H29" s="204"/>
      <c r="I29" s="204"/>
      <c r="J29" s="205"/>
      <c r="K29" s="1"/>
      <c r="L29" s="1"/>
      <c r="M29" s="1"/>
      <c r="N29" s="1"/>
      <c r="O29" s="1"/>
    </row>
    <row r="30" spans="1:15" ht="12.75">
      <c r="A30" s="198" t="str">
        <f>'[1]SP NR 1'!A30:B30</f>
        <v>koszt utrzymania 1 ucznia w 2004</v>
      </c>
      <c r="B30" s="200"/>
      <c r="C30" s="201">
        <f>(G24+I24+H24)/C27</f>
        <v>8171.5960683760695</v>
      </c>
      <c r="D30" s="202"/>
      <c r="E30" s="202"/>
      <c r="F30" s="202"/>
      <c r="G30" s="202"/>
      <c r="H30" s="202"/>
      <c r="I30" s="202"/>
      <c r="J30" s="203"/>
      <c r="K30" s="1"/>
      <c r="L30" s="1"/>
      <c r="M30" s="1"/>
      <c r="N30" s="1"/>
      <c r="O30" s="1"/>
    </row>
    <row r="31" spans="1:10" ht="12.75">
      <c r="A31" s="198" t="str">
        <f>'[1]SP NR 1'!A31:B31</f>
        <v>koszt utrzymania 1 ucznia w 2005</v>
      </c>
      <c r="B31" s="200"/>
      <c r="C31" s="201">
        <f>J24/C37</f>
        <v>6423.076923076923</v>
      </c>
      <c r="D31" s="202"/>
      <c r="E31" s="202"/>
      <c r="F31" s="202"/>
      <c r="G31" s="202"/>
      <c r="H31" s="202"/>
      <c r="I31" s="202"/>
      <c r="J31" s="203"/>
    </row>
    <row r="32" spans="1:10" ht="12.75">
      <c r="A32" s="198" t="s">
        <v>30</v>
      </c>
      <c r="B32" s="212"/>
      <c r="C32" s="201">
        <v>525158.6</v>
      </c>
      <c r="D32" s="204"/>
      <c r="E32" s="204"/>
      <c r="F32" s="204"/>
      <c r="G32" s="204"/>
      <c r="H32" s="204"/>
      <c r="I32" s="204"/>
      <c r="J32" s="205"/>
    </row>
    <row r="33" spans="1:10" ht="12.75">
      <c r="A33" s="198" t="s">
        <v>31</v>
      </c>
      <c r="B33" s="212"/>
      <c r="C33" s="201">
        <v>480501.45</v>
      </c>
      <c r="D33" s="204"/>
      <c r="E33" s="204"/>
      <c r="F33" s="204"/>
      <c r="G33" s="204"/>
      <c r="H33" s="204"/>
      <c r="I33" s="204"/>
      <c r="J33" s="205"/>
    </row>
    <row r="34" spans="1:10" ht="12.75">
      <c r="A34" s="3" t="s">
        <v>32</v>
      </c>
      <c r="B34" s="3"/>
      <c r="C34" s="201">
        <v>108217.28</v>
      </c>
      <c r="D34" s="204"/>
      <c r="E34" s="204"/>
      <c r="F34" s="204"/>
      <c r="G34" s="204"/>
      <c r="H34" s="204"/>
      <c r="I34" s="204"/>
      <c r="J34" s="205"/>
    </row>
    <row r="35" spans="1:10" ht="12.75">
      <c r="A35" s="3" t="s">
        <v>33</v>
      </c>
      <c r="B35" s="3"/>
      <c r="C35" s="201">
        <f>J24-C33</f>
        <v>270998.55</v>
      </c>
      <c r="D35" s="204"/>
      <c r="E35" s="204"/>
      <c r="F35" s="204"/>
      <c r="G35" s="204"/>
      <c r="H35" s="204"/>
      <c r="I35" s="204"/>
      <c r="J35" s="205"/>
    </row>
    <row r="36" spans="1:10" ht="12.75">
      <c r="A36" s="213" t="s">
        <v>361</v>
      </c>
      <c r="B36" s="214"/>
      <c r="C36" s="215">
        <v>124</v>
      </c>
      <c r="D36" s="216"/>
      <c r="E36" s="216"/>
      <c r="F36" s="216"/>
      <c r="G36" s="216"/>
      <c r="H36" s="216"/>
      <c r="I36" s="216"/>
      <c r="J36" s="217"/>
    </row>
    <row r="37" spans="1:10" ht="12.75">
      <c r="A37" s="218" t="s">
        <v>359</v>
      </c>
      <c r="B37" s="191"/>
      <c r="C37" s="221">
        <v>117</v>
      </c>
      <c r="D37" s="222"/>
      <c r="E37" s="222"/>
      <c r="F37" s="222"/>
      <c r="G37" s="222"/>
      <c r="H37" s="222"/>
      <c r="I37" s="222"/>
      <c r="J37" s="223"/>
    </row>
  </sheetData>
  <mergeCells count="22">
    <mergeCell ref="A36:B36"/>
    <mergeCell ref="C36:J36"/>
    <mergeCell ref="A37:B37"/>
    <mergeCell ref="C37:J37"/>
    <mergeCell ref="A33:B33"/>
    <mergeCell ref="C33:J33"/>
    <mergeCell ref="C34:J34"/>
    <mergeCell ref="C35:J35"/>
    <mergeCell ref="A31:B31"/>
    <mergeCell ref="C31:J31"/>
    <mergeCell ref="A32:B32"/>
    <mergeCell ref="C32:J32"/>
    <mergeCell ref="A24:B24"/>
    <mergeCell ref="A25:J25"/>
    <mergeCell ref="A30:B30"/>
    <mergeCell ref="C30:J30"/>
    <mergeCell ref="C28:J28"/>
    <mergeCell ref="C29:J29"/>
    <mergeCell ref="A26:B26"/>
    <mergeCell ref="A27:B27"/>
    <mergeCell ref="C26:J26"/>
    <mergeCell ref="C27:J27"/>
  </mergeCells>
  <printOptions/>
  <pageMargins left="0.75" right="0.75" top="1" bottom="1" header="0.5" footer="0.5"/>
  <pageSetup horizontalDpi="300" verticalDpi="3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F1">
      <selection activeCell="E35" sqref="E35"/>
    </sheetView>
  </sheetViews>
  <sheetFormatPr defaultColWidth="9.00390625" defaultRowHeight="12.75"/>
  <cols>
    <col min="1" max="1" width="5.125" style="0" customWidth="1"/>
    <col min="2" max="2" width="32.125" style="0" customWidth="1"/>
    <col min="3" max="3" width="9.75390625" style="0" customWidth="1"/>
    <col min="4" max="4" width="9.625" style="0" customWidth="1"/>
    <col min="5" max="5" width="9.75390625" style="0" customWidth="1"/>
    <col min="6" max="6" width="9.875" style="0" bestFit="1" customWidth="1"/>
    <col min="7" max="7" width="10.25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75390625" style="0" customWidth="1"/>
    <col min="12" max="12" width="10.125" style="0" customWidth="1"/>
    <col min="13" max="13" width="9.625" style="0" customWidth="1"/>
    <col min="14" max="15" width="9.875" style="0" customWidth="1"/>
    <col min="16" max="16" width="9.75390625" style="0" customWidth="1"/>
  </cols>
  <sheetData>
    <row r="1" ht="12.75">
      <c r="O1" t="s">
        <v>446</v>
      </c>
    </row>
    <row r="3" ht="12.75">
      <c r="A3" s="29" t="s">
        <v>443</v>
      </c>
    </row>
    <row r="4" ht="12.75">
      <c r="A4" s="29" t="s">
        <v>241</v>
      </c>
    </row>
    <row r="6" spans="1:16" ht="25.5">
      <c r="A6" s="10" t="s">
        <v>37</v>
      </c>
      <c r="B6" s="10" t="s">
        <v>2</v>
      </c>
      <c r="C6" s="10" t="s">
        <v>3</v>
      </c>
      <c r="D6" s="10" t="s">
        <v>178</v>
      </c>
      <c r="E6" s="10" t="s">
        <v>179</v>
      </c>
      <c r="F6" s="10" t="s">
        <v>180</v>
      </c>
      <c r="G6" s="10" t="s">
        <v>181</v>
      </c>
      <c r="H6" s="10" t="s">
        <v>182</v>
      </c>
      <c r="I6" s="10" t="s">
        <v>183</v>
      </c>
      <c r="J6" s="10" t="s">
        <v>184</v>
      </c>
      <c r="K6" s="10" t="s">
        <v>185</v>
      </c>
      <c r="L6" s="10" t="s">
        <v>186</v>
      </c>
      <c r="M6" s="10" t="s">
        <v>187</v>
      </c>
      <c r="N6" s="10" t="s">
        <v>188</v>
      </c>
      <c r="O6" s="10" t="s">
        <v>189</v>
      </c>
      <c r="P6" s="10" t="s">
        <v>190</v>
      </c>
    </row>
    <row r="7" spans="1:16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</row>
    <row r="8" spans="1:16" ht="12.75">
      <c r="A8" s="64" t="s">
        <v>52</v>
      </c>
      <c r="B8" s="64" t="s">
        <v>242</v>
      </c>
      <c r="C8" s="65">
        <v>12033852</v>
      </c>
      <c r="D8" s="65">
        <f>'NOWA akcja kredytowa-Wersja II'!D8</f>
        <v>10394606</v>
      </c>
      <c r="E8" s="65">
        <f>'NOWA akcja kredytowa-Wersja II'!E8</f>
        <v>10920600</v>
      </c>
      <c r="F8" s="65">
        <f>'NOWA akcja kredytowa-Wersja II'!F8</f>
        <v>10921458</v>
      </c>
      <c r="G8" s="65">
        <f>'NOWA akcja kredytowa-Wersja II'!G8</f>
        <v>10923165</v>
      </c>
      <c r="H8" s="65">
        <f>'NOWA akcja kredytowa-Wersja II'!H8</f>
        <v>10935490</v>
      </c>
      <c r="I8" s="65">
        <f>'NOWA akcja kredytowa-Wersja II'!I8</f>
        <v>11025000</v>
      </c>
      <c r="J8" s="65">
        <f>'NOWA akcja kredytowa-Wersja II'!J8</f>
        <v>11025000</v>
      </c>
      <c r="K8" s="65">
        <f>'NOWA akcja kredytowa-Wersja II'!K8</f>
        <v>11025000</v>
      </c>
      <c r="L8" s="65">
        <f>'NOWA akcja kredytowa-Wersja II'!L8</f>
        <v>11025000</v>
      </c>
      <c r="M8" s="65">
        <f>'NOWA akcja kredytowa-Wersja II'!M8</f>
        <v>11025000</v>
      </c>
      <c r="N8" s="65">
        <f>'NOWA akcja kredytowa-Wersja II'!N8</f>
        <v>11025000</v>
      </c>
      <c r="O8" s="65">
        <f>'NOWA akcja kredytowa-Wersja II'!O8</f>
        <v>11025000</v>
      </c>
      <c r="P8" s="65">
        <f>'NOWA akcja kredytowa-Wersja II'!P8</f>
        <v>11025000</v>
      </c>
    </row>
    <row r="9" spans="1:16" ht="12.75">
      <c r="A9" s="64" t="s">
        <v>73</v>
      </c>
      <c r="B9" s="64" t="s">
        <v>243</v>
      </c>
      <c r="C9" s="65">
        <v>9054704</v>
      </c>
      <c r="D9" s="65">
        <f>'NOWE - Pl. Wydatków'!E115</f>
        <v>8894387</v>
      </c>
      <c r="E9" s="65">
        <f>'NOWE - Pl. Wydatków'!F115</f>
        <v>14386400</v>
      </c>
      <c r="F9" s="65">
        <f>'NOWA akcja kredytowa-Wersja II'!F9+'NOWA akcja kredytowa-Wersja II'!F12+'NOWA akcja kredytowa-Wersja II'!F17</f>
        <v>9721458</v>
      </c>
      <c r="G9" s="65">
        <f>'NOWA akcja kredytowa-Wersja II'!G9+'NOWA akcja kredytowa-Wersja II'!G12+'NOWA akcja kredytowa-Wersja II'!G17</f>
        <v>9743165</v>
      </c>
      <c r="H9" s="65">
        <f>'NOWA akcja kredytowa-Wersja II'!H9+'NOWA akcja kredytowa-Wersja II'!H12+'NOWA akcja kredytowa-Wersja II'!H17</f>
        <v>9855490</v>
      </c>
      <c r="I9" s="65">
        <f>'NOWA akcja kredytowa-Wersja II'!I9+'NOWA akcja kredytowa-Wersja II'!I12+'NOWA akcja kredytowa-Wersja II'!I17</f>
        <v>10095000</v>
      </c>
      <c r="J9" s="65">
        <f>'NOWA akcja kredytowa-Wersja II'!J9+'NOWA akcja kredytowa-Wersja II'!J12+'NOWA akcja kredytowa-Wersja II'!J17</f>
        <v>10095000</v>
      </c>
      <c r="K9" s="65">
        <f>'NOWA akcja kredytowa-Wersja II'!K9+'NOWA akcja kredytowa-Wersja II'!K12+'NOWA akcja kredytowa-Wersja II'!K17</f>
        <v>10095000</v>
      </c>
      <c r="L9" s="65">
        <f>'NOWA akcja kredytowa-Wersja II'!L9+'NOWA akcja kredytowa-Wersja II'!L12+'NOWA akcja kredytowa-Wersja II'!L17</f>
        <v>10095000</v>
      </c>
      <c r="M9" s="65">
        <f>'NOWA akcja kredytowa-Wersja II'!M9+'NOWA akcja kredytowa-Wersja II'!M12+'NOWA akcja kredytowa-Wersja II'!M17</f>
        <v>10464200</v>
      </c>
      <c r="N9" s="65">
        <f>'NOWA akcja kredytowa-Wersja II'!N9+'NOWA akcja kredytowa-Wersja II'!N12+'NOWA akcja kredytowa-Wersja II'!N17</f>
        <v>11025000</v>
      </c>
      <c r="O9" s="65">
        <f>'NOWA akcja kredytowa-Wersja II'!O9+'NOWA akcja kredytowa-Wersja II'!O12+'NOWA akcja kredytowa-Wersja II'!O17</f>
        <v>11025000</v>
      </c>
      <c r="P9" s="65">
        <f>'NOWA akcja kredytowa-Wersja II'!P9+'NOWA akcja kredytowa-Wersja II'!P12+'NOWA akcja kredytowa-Wersja II'!P17</f>
        <v>11025000</v>
      </c>
    </row>
    <row r="10" spans="1:16" ht="12.75">
      <c r="A10" s="2"/>
      <c r="B10" s="2" t="s">
        <v>170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2.75">
      <c r="A11" s="2" t="s">
        <v>75</v>
      </c>
      <c r="B11" s="2" t="s">
        <v>244</v>
      </c>
      <c r="C11" s="45">
        <f>'NOWE - Pl. Wydatków'!C117</f>
        <v>9054704</v>
      </c>
      <c r="D11" s="45">
        <f>'NOWE - Pl. Wydatków'!E117</f>
        <v>8419454</v>
      </c>
      <c r="E11" s="45">
        <f>'NOWE - Pl. Wydatków'!F117</f>
        <v>12606258</v>
      </c>
      <c r="F11" s="45">
        <f aca="true" t="shared" si="0" ref="F11:P11">F9-F14</f>
        <v>8818820</v>
      </c>
      <c r="G11" s="45">
        <f t="shared" si="0"/>
        <v>9326725</v>
      </c>
      <c r="H11" s="45">
        <f t="shared" si="0"/>
        <v>9530228</v>
      </c>
      <c r="I11" s="45">
        <f t="shared" si="0"/>
        <v>9756688</v>
      </c>
      <c r="J11" s="45">
        <f t="shared" si="0"/>
        <v>9727626</v>
      </c>
      <c r="K11" s="45">
        <f t="shared" si="0"/>
        <v>9698563</v>
      </c>
      <c r="L11" s="45">
        <f t="shared" si="0"/>
        <v>9635619.392123288</v>
      </c>
      <c r="M11" s="45">
        <f t="shared" si="0"/>
        <v>9608398.835616438</v>
      </c>
      <c r="N11" s="45">
        <f t="shared" si="0"/>
        <v>9600000</v>
      </c>
      <c r="O11" s="45">
        <f t="shared" si="0"/>
        <v>9600000</v>
      </c>
      <c r="P11" s="45">
        <f t="shared" si="0"/>
        <v>9600000</v>
      </c>
    </row>
    <row r="12" spans="1:16" ht="12.75">
      <c r="A12" s="2"/>
      <c r="B12" s="2" t="s">
        <v>138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2.75">
      <c r="A13" s="2" t="s">
        <v>282</v>
      </c>
      <c r="B13" s="2" t="s">
        <v>283</v>
      </c>
      <c r="C13" s="45">
        <f>'NOWA akcja kredytowa-Wersja II'!C12</f>
        <v>168000</v>
      </c>
      <c r="D13" s="45" t="e">
        <f>'NOWA akcja kredytowa-Wersja II'!D12</f>
        <v>#REF!</v>
      </c>
      <c r="E13" s="45">
        <f>'NOWA akcja kredytowa-Wersja II'!E12</f>
        <v>215000</v>
      </c>
      <c r="F13" s="45">
        <f>'NOWA akcja kredytowa-Wersja II'!F12</f>
        <v>234907</v>
      </c>
      <c r="G13" s="45">
        <f>'NOWA akcja kredytowa-Wersja II'!G12</f>
        <v>212684</v>
      </c>
      <c r="H13" s="45">
        <f>'NOWA akcja kredytowa-Wersja II'!H12</f>
        <v>183258</v>
      </c>
      <c r="I13" s="45">
        <f>'NOWA akcja kredytowa-Wersja II'!I12</f>
        <v>156688</v>
      </c>
      <c r="J13" s="45">
        <f>'NOWA akcja kredytowa-Wersja II'!J12</f>
        <v>127626</v>
      </c>
      <c r="K13" s="45">
        <f>'NOWA akcja kredytowa-Wersja II'!K12</f>
        <v>98563</v>
      </c>
      <c r="L13" s="45">
        <f>'NOWA akcja kredytowa-Wersja II'!L12</f>
        <v>35619.39212328767</v>
      </c>
      <c r="M13" s="45">
        <f>'NOWA akcja kredytowa-Wersja II'!M12</f>
        <v>8398.835616438355</v>
      </c>
      <c r="N13" s="45">
        <f>'NOWA akcja kredytowa-Wersja II'!N12</f>
        <v>0</v>
      </c>
      <c r="O13" s="45">
        <f>'NOWA akcja kredytowa-Wersja II'!O12</f>
        <v>0</v>
      </c>
      <c r="P13" s="45">
        <f>'NOWA akcja kredytowa-Wersja II'!P12</f>
        <v>0</v>
      </c>
    </row>
    <row r="14" spans="1:16" ht="12.75">
      <c r="A14" s="2" t="s">
        <v>106</v>
      </c>
      <c r="B14" s="2" t="s">
        <v>245</v>
      </c>
      <c r="C14" s="45">
        <v>5775717</v>
      </c>
      <c r="D14" s="45">
        <v>354659</v>
      </c>
      <c r="E14" s="45">
        <f>'NOWA akcja kredytowa-Wersja II'!E17</f>
        <v>1780142</v>
      </c>
      <c r="F14" s="45">
        <f>'NOWA akcja kredytowa-Wersja II'!F17</f>
        <v>902638</v>
      </c>
      <c r="G14" s="45">
        <f>'NOWA akcja kredytowa-Wersja II'!G17</f>
        <v>416440</v>
      </c>
      <c r="H14" s="45">
        <f>'NOWA akcja kredytowa-Wersja II'!H17</f>
        <v>325262</v>
      </c>
      <c r="I14" s="45">
        <f>'NOWA akcja kredytowa-Wersja II'!I17</f>
        <v>338312</v>
      </c>
      <c r="J14" s="45">
        <f>'NOWA akcja kredytowa-Wersja II'!J17</f>
        <v>367374</v>
      </c>
      <c r="K14" s="45">
        <f>'NOWA akcja kredytowa-Wersja II'!K17</f>
        <v>396437</v>
      </c>
      <c r="L14" s="45">
        <f>'NOWA akcja kredytowa-Wersja II'!L17</f>
        <v>459380.6078767122</v>
      </c>
      <c r="M14" s="45">
        <f>'NOWA akcja kredytowa-Wersja II'!M17</f>
        <v>855801.1643835616</v>
      </c>
      <c r="N14" s="45">
        <f>'NOWA akcja kredytowa-Wersja II'!N17</f>
        <v>1425000</v>
      </c>
      <c r="O14" s="45">
        <f>'NOWA akcja kredytowa-Wersja II'!O17</f>
        <v>1425000</v>
      </c>
      <c r="P14" s="45">
        <f>'NOWA akcja kredytowa-Wersja II'!P17</f>
        <v>1425000</v>
      </c>
    </row>
    <row r="15" spans="1:16" ht="12.75">
      <c r="A15" s="35" t="s">
        <v>111</v>
      </c>
      <c r="B15" s="35" t="s">
        <v>246</v>
      </c>
      <c r="C15" s="47">
        <f aca="true" t="shared" si="1" ref="C15:P15">C17+C18+C19+C20</f>
        <v>1300000</v>
      </c>
      <c r="D15" s="47">
        <f t="shared" si="1"/>
        <v>1252500</v>
      </c>
      <c r="E15" s="47">
        <f t="shared" si="1"/>
        <v>1850000</v>
      </c>
      <c r="F15" s="47">
        <f t="shared" si="1"/>
        <v>1200000</v>
      </c>
      <c r="G15" s="47">
        <f t="shared" si="1"/>
        <v>1180000</v>
      </c>
      <c r="H15" s="47">
        <f t="shared" si="1"/>
        <v>1080000</v>
      </c>
      <c r="I15" s="47">
        <f t="shared" si="1"/>
        <v>930000</v>
      </c>
      <c r="J15" s="47">
        <f t="shared" si="1"/>
        <v>930000</v>
      </c>
      <c r="K15" s="47">
        <f t="shared" si="1"/>
        <v>930000</v>
      </c>
      <c r="L15" s="47">
        <f t="shared" si="1"/>
        <v>930000</v>
      </c>
      <c r="M15" s="47">
        <f t="shared" si="1"/>
        <v>560800</v>
      </c>
      <c r="N15" s="47">
        <f t="shared" si="1"/>
        <v>0</v>
      </c>
      <c r="O15" s="47">
        <f t="shared" si="1"/>
        <v>0</v>
      </c>
      <c r="P15" s="47">
        <f t="shared" si="1"/>
        <v>0</v>
      </c>
    </row>
    <row r="16" spans="1:16" ht="12.75">
      <c r="A16" s="2"/>
      <c r="B16" s="2" t="s">
        <v>170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2.75">
      <c r="A17" s="2" t="s">
        <v>112</v>
      </c>
      <c r="B17" s="2" t="s">
        <v>247</v>
      </c>
      <c r="C17" s="45">
        <v>1200000</v>
      </c>
      <c r="D17" s="45">
        <v>950000</v>
      </c>
      <c r="E17" s="45">
        <v>950000</v>
      </c>
      <c r="F17" s="45">
        <v>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2.75">
      <c r="A18" s="2" t="s">
        <v>114</v>
      </c>
      <c r="B18" s="2" t="s">
        <v>248</v>
      </c>
      <c r="C18" s="45">
        <v>100000</v>
      </c>
      <c r="D18" s="45">
        <v>302500</v>
      </c>
      <c r="E18" s="45">
        <v>900000</v>
      </c>
      <c r="F18" s="45">
        <f>'NOWA akcja kredytowa-Wersja II'!F14</f>
        <v>1200000</v>
      </c>
      <c r="G18" s="45">
        <f>'NOWA akcja kredytowa-Wersja II'!G14</f>
        <v>1180000</v>
      </c>
      <c r="H18" s="45">
        <f>'NOWA akcja kredytowa-Wersja II'!H14</f>
        <v>1080000</v>
      </c>
      <c r="I18" s="45">
        <f>'NOWA akcja kredytowa-Wersja II'!I14</f>
        <v>930000</v>
      </c>
      <c r="J18" s="45">
        <f>'NOWA akcja kredytowa-Wersja II'!J14</f>
        <v>930000</v>
      </c>
      <c r="K18" s="45">
        <f>'NOWA akcja kredytowa-Wersja II'!K14</f>
        <v>930000</v>
      </c>
      <c r="L18" s="45">
        <f>'NOWA akcja kredytowa-Wersja II'!L14</f>
        <v>930000</v>
      </c>
      <c r="M18" s="45">
        <f>'NOWA akcja kredytowa-Wersja II'!M14</f>
        <v>560800</v>
      </c>
      <c r="N18" s="45">
        <f>'NOWA akcja kredytowa-Wersja II'!N14</f>
        <v>0</v>
      </c>
      <c r="O18" s="45"/>
      <c r="P18" s="45">
        <f>'NOWA akcja kredytowa-Wersja II'!P14</f>
        <v>0</v>
      </c>
    </row>
    <row r="19" spans="1:16" ht="12.75">
      <c r="A19" s="2" t="s">
        <v>250</v>
      </c>
      <c r="B19" s="2" t="s">
        <v>251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2.75">
      <c r="A20" s="2" t="s">
        <v>252</v>
      </c>
      <c r="B20" s="2" t="s">
        <v>253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2.75">
      <c r="A21" s="2" t="s">
        <v>269</v>
      </c>
      <c r="B21" s="2" t="s">
        <v>456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2.75">
      <c r="A22" s="2" t="s">
        <v>270</v>
      </c>
      <c r="B22" s="2" t="s">
        <v>271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12.75">
      <c r="A23" s="2"/>
      <c r="B23" s="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2.75">
      <c r="A24" s="35" t="s">
        <v>116</v>
      </c>
      <c r="B24" s="35" t="s">
        <v>249</v>
      </c>
      <c r="C24" s="47">
        <f aca="true" t="shared" si="2" ref="C24:P24">C8-C9-C15</f>
        <v>1679148</v>
      </c>
      <c r="D24" s="47">
        <f t="shared" si="2"/>
        <v>247719</v>
      </c>
      <c r="E24" s="47">
        <f t="shared" si="2"/>
        <v>-5315800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47">
        <f t="shared" si="2"/>
        <v>0</v>
      </c>
      <c r="L24" s="47">
        <f t="shared" si="2"/>
        <v>0</v>
      </c>
      <c r="M24" s="47">
        <f t="shared" si="2"/>
        <v>0</v>
      </c>
      <c r="N24" s="47">
        <f t="shared" si="2"/>
        <v>0</v>
      </c>
      <c r="O24" s="47">
        <f t="shared" si="2"/>
        <v>0</v>
      </c>
      <c r="P24" s="47">
        <f t="shared" si="2"/>
        <v>0</v>
      </c>
    </row>
    <row r="25" spans="1:16" ht="12.75">
      <c r="A25" s="35" t="s">
        <v>194</v>
      </c>
      <c r="B25" s="35" t="s">
        <v>254</v>
      </c>
      <c r="C25" s="47">
        <f aca="true" t="shared" si="3" ref="C25:P25">C27+C28+C29+C30+C31+C32+C33</f>
        <v>4175000</v>
      </c>
      <c r="D25" s="47">
        <f t="shared" si="3"/>
        <v>0</v>
      </c>
      <c r="E25" s="47">
        <f t="shared" si="3"/>
        <v>5315800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47">
        <f t="shared" si="3"/>
        <v>0</v>
      </c>
      <c r="J25" s="47">
        <f t="shared" si="3"/>
        <v>0</v>
      </c>
      <c r="K25" s="47">
        <f t="shared" si="3"/>
        <v>0</v>
      </c>
      <c r="L25" s="47">
        <f t="shared" si="3"/>
        <v>0</v>
      </c>
      <c r="M25" s="47">
        <f t="shared" si="3"/>
        <v>0</v>
      </c>
      <c r="N25" s="47">
        <f t="shared" si="3"/>
        <v>0</v>
      </c>
      <c r="O25" s="47">
        <f t="shared" si="3"/>
        <v>0</v>
      </c>
      <c r="P25" s="47">
        <f t="shared" si="3"/>
        <v>0</v>
      </c>
    </row>
    <row r="26" spans="1:16" s="68" customFormat="1" ht="12.75">
      <c r="A26" s="66"/>
      <c r="B26" s="69" t="s">
        <v>170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ht="12.75">
      <c r="A27" s="2" t="s">
        <v>255</v>
      </c>
      <c r="B27" s="2" t="s">
        <v>256</v>
      </c>
      <c r="C27" s="45">
        <v>700000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2.75">
      <c r="A28" s="2" t="s">
        <v>257</v>
      </c>
      <c r="B28" s="2" t="s">
        <v>258</v>
      </c>
      <c r="C28" s="45">
        <v>3475000</v>
      </c>
      <c r="D28" s="45"/>
      <c r="E28" s="45">
        <f>'NOWA akcja kredytowa-Wersja II'!E21</f>
        <v>5315800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2.75">
      <c r="A29" s="2" t="s">
        <v>259</v>
      </c>
      <c r="B29" s="2" t="s">
        <v>260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2.75">
      <c r="A30" s="2" t="s">
        <v>261</v>
      </c>
      <c r="B30" s="2" t="s">
        <v>262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2.75">
      <c r="A31" s="2" t="s">
        <v>263</v>
      </c>
      <c r="B31" s="2" t="s">
        <v>264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ht="25.5">
      <c r="A32" s="2" t="s">
        <v>265</v>
      </c>
      <c r="B32" s="2" t="s">
        <v>266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ht="12.75">
      <c r="A33" s="2" t="s">
        <v>267</v>
      </c>
      <c r="B33" s="2" t="s">
        <v>268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2.75">
      <c r="A34" s="2"/>
      <c r="B34" s="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12.75">
      <c r="A35" s="64" t="s">
        <v>196</v>
      </c>
      <c r="B35" s="64" t="s">
        <v>272</v>
      </c>
      <c r="C35" s="65"/>
      <c r="D35" s="65">
        <v>37500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s="70" customFormat="1" ht="12.75">
      <c r="A36" s="2"/>
      <c r="B36" s="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s="71" customFormat="1" ht="12.75">
      <c r="A37" s="35" t="s">
        <v>197</v>
      </c>
      <c r="B37" s="35" t="s">
        <v>273</v>
      </c>
      <c r="C37" s="47">
        <f aca="true" t="shared" si="4" ref="C37:N37">C39+C40+C41+C42+C43</f>
        <v>6236708</v>
      </c>
      <c r="D37" s="47">
        <f t="shared" si="4"/>
        <v>6166049</v>
      </c>
      <c r="E37" s="47">
        <f>D39+D40+E25-E15</f>
        <v>7740800</v>
      </c>
      <c r="F37" s="47">
        <f t="shared" si="4"/>
        <v>6540800</v>
      </c>
      <c r="G37" s="47">
        <f t="shared" si="4"/>
        <v>5360800</v>
      </c>
      <c r="H37" s="47">
        <f t="shared" si="4"/>
        <v>4280800</v>
      </c>
      <c r="I37" s="47">
        <f t="shared" si="4"/>
        <v>3350800</v>
      </c>
      <c r="J37" s="47">
        <f t="shared" si="4"/>
        <v>2420800</v>
      </c>
      <c r="K37" s="47">
        <f t="shared" si="4"/>
        <v>1490800</v>
      </c>
      <c r="L37" s="47">
        <f t="shared" si="4"/>
        <v>560800</v>
      </c>
      <c r="M37" s="47">
        <f t="shared" si="4"/>
        <v>0</v>
      </c>
      <c r="N37" s="47">
        <f t="shared" si="4"/>
        <v>0</v>
      </c>
      <c r="O37" s="47">
        <f>N37+O25-O15</f>
        <v>0</v>
      </c>
      <c r="P37" s="47">
        <f>O37+P25-P15</f>
        <v>0</v>
      </c>
    </row>
    <row r="38" spans="1:16" s="70" customFormat="1" ht="12.75">
      <c r="A38" s="2"/>
      <c r="B38" s="2" t="s">
        <v>170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s="70" customFormat="1" ht="12.75">
      <c r="A39" s="2" t="s">
        <v>274</v>
      </c>
      <c r="B39" s="2" t="s">
        <v>256</v>
      </c>
      <c r="C39" s="45">
        <v>1900000</v>
      </c>
      <c r="D39" s="46">
        <f aca="true" t="shared" si="5" ref="D39:P39">C39+D27-D17</f>
        <v>950000</v>
      </c>
      <c r="E39" s="46">
        <f t="shared" si="5"/>
        <v>0</v>
      </c>
      <c r="F39" s="46">
        <f t="shared" si="5"/>
        <v>0</v>
      </c>
      <c r="G39" s="46">
        <f t="shared" si="5"/>
        <v>0</v>
      </c>
      <c r="H39" s="46">
        <f t="shared" si="5"/>
        <v>0</v>
      </c>
      <c r="I39" s="46">
        <f t="shared" si="5"/>
        <v>0</v>
      </c>
      <c r="J39" s="46">
        <f t="shared" si="5"/>
        <v>0</v>
      </c>
      <c r="K39" s="46">
        <f t="shared" si="5"/>
        <v>0</v>
      </c>
      <c r="L39" s="46">
        <f t="shared" si="5"/>
        <v>0</v>
      </c>
      <c r="M39" s="46">
        <f t="shared" si="5"/>
        <v>0</v>
      </c>
      <c r="N39" s="46">
        <f t="shared" si="5"/>
        <v>0</v>
      </c>
      <c r="O39" s="46">
        <f t="shared" si="5"/>
        <v>0</v>
      </c>
      <c r="P39" s="46">
        <f t="shared" si="5"/>
        <v>0</v>
      </c>
    </row>
    <row r="40" spans="1:16" s="70" customFormat="1" ht="12.75">
      <c r="A40" s="2" t="s">
        <v>275</v>
      </c>
      <c r="B40" s="2" t="s">
        <v>258</v>
      </c>
      <c r="C40" s="45">
        <v>3665000</v>
      </c>
      <c r="D40" s="46">
        <f>C40+D28-D18-D35</f>
        <v>3325000</v>
      </c>
      <c r="E40" s="46">
        <f aca="true" t="shared" si="6" ref="E40:P40">D40+E28-E18</f>
        <v>7740800</v>
      </c>
      <c r="F40" s="46">
        <f t="shared" si="6"/>
        <v>6540800</v>
      </c>
      <c r="G40" s="46">
        <f t="shared" si="6"/>
        <v>5360800</v>
      </c>
      <c r="H40" s="46">
        <f t="shared" si="6"/>
        <v>4280800</v>
      </c>
      <c r="I40" s="46">
        <f t="shared" si="6"/>
        <v>3350800</v>
      </c>
      <c r="J40" s="46">
        <f t="shared" si="6"/>
        <v>2420800</v>
      </c>
      <c r="K40" s="46">
        <f t="shared" si="6"/>
        <v>1490800</v>
      </c>
      <c r="L40" s="46">
        <f t="shared" si="6"/>
        <v>560800</v>
      </c>
      <c r="M40" s="46">
        <f t="shared" si="6"/>
        <v>0</v>
      </c>
      <c r="N40" s="46">
        <f t="shared" si="6"/>
        <v>0</v>
      </c>
      <c r="O40" s="46">
        <f t="shared" si="6"/>
        <v>0</v>
      </c>
      <c r="P40" s="46">
        <f t="shared" si="6"/>
        <v>0</v>
      </c>
    </row>
    <row r="41" spans="1:16" s="70" customFormat="1" ht="12.75">
      <c r="A41" s="2" t="s">
        <v>276</v>
      </c>
      <c r="B41" s="2" t="s">
        <v>277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s="70" customFormat="1" ht="12.75">
      <c r="A42" s="2" t="s">
        <v>278</v>
      </c>
      <c r="B42" s="2" t="s">
        <v>279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2.75">
      <c r="A43" s="2" t="s">
        <v>280</v>
      </c>
      <c r="B43" s="2" t="s">
        <v>281</v>
      </c>
      <c r="C43" s="45">
        <v>671708</v>
      </c>
      <c r="D43" s="45">
        <f>'prognoza długu - Wersja I'!D43</f>
        <v>1891049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25.5">
      <c r="A44" s="41" t="s">
        <v>196</v>
      </c>
      <c r="B44" s="41" t="s">
        <v>213</v>
      </c>
      <c r="C44" s="42">
        <f aca="true" t="shared" si="7" ref="C44:P44">(C13+C15)/C8</f>
        <v>0.12198920179506945</v>
      </c>
      <c r="D44" s="42" t="e">
        <f t="shared" si="7"/>
        <v>#REF!</v>
      </c>
      <c r="E44" s="42">
        <f t="shared" si="7"/>
        <v>0.18909217442265078</v>
      </c>
      <c r="F44" s="42">
        <f t="shared" si="7"/>
        <v>0.13138419797063725</v>
      </c>
      <c r="G44" s="42">
        <f t="shared" si="7"/>
        <v>0.1274982113700562</v>
      </c>
      <c r="H44" s="42">
        <f t="shared" si="7"/>
        <v>0.11551910339637272</v>
      </c>
      <c r="I44" s="42">
        <f t="shared" si="7"/>
        <v>0.09856580498866213</v>
      </c>
      <c r="J44" s="42">
        <f t="shared" si="7"/>
        <v>0.09592979591836735</v>
      </c>
      <c r="K44" s="42">
        <f t="shared" si="7"/>
        <v>0.09329369614512471</v>
      </c>
      <c r="L44" s="42">
        <f t="shared" si="7"/>
        <v>0.08758452536265647</v>
      </c>
      <c r="M44" s="42">
        <f t="shared" si="7"/>
        <v>0.05162801230081073</v>
      </c>
      <c r="N44" s="42">
        <f t="shared" si="7"/>
        <v>0</v>
      </c>
      <c r="O44" s="42">
        <f t="shared" si="7"/>
        <v>0</v>
      </c>
      <c r="P44" s="42">
        <f t="shared" si="7"/>
        <v>0</v>
      </c>
    </row>
    <row r="45" spans="1:16" ht="25.5">
      <c r="A45" s="41" t="s">
        <v>211</v>
      </c>
      <c r="B45" s="41" t="s">
        <v>212</v>
      </c>
      <c r="C45" s="42">
        <f aca="true" t="shared" si="8" ref="C45:P45">C37/C8</f>
        <v>0.5182636449243351</v>
      </c>
      <c r="D45" s="42">
        <f t="shared" si="8"/>
        <v>0.5931969908238947</v>
      </c>
      <c r="E45" s="42">
        <f t="shared" si="8"/>
        <v>0.7088255224071938</v>
      </c>
      <c r="F45" s="42">
        <f t="shared" si="8"/>
        <v>0.5988943967005138</v>
      </c>
      <c r="G45" s="42">
        <f t="shared" si="8"/>
        <v>0.4907735074953093</v>
      </c>
      <c r="H45" s="42">
        <f t="shared" si="8"/>
        <v>0.39145936761864353</v>
      </c>
      <c r="I45" s="42">
        <f t="shared" si="8"/>
        <v>0.30392743764172336</v>
      </c>
      <c r="J45" s="42">
        <f t="shared" si="8"/>
        <v>0.2195736961451247</v>
      </c>
      <c r="K45" s="42">
        <f t="shared" si="8"/>
        <v>0.13521995464852607</v>
      </c>
      <c r="L45" s="42">
        <f t="shared" si="8"/>
        <v>0.050866213151927436</v>
      </c>
      <c r="M45" s="42">
        <f t="shared" si="8"/>
        <v>0</v>
      </c>
      <c r="N45" s="42">
        <f t="shared" si="8"/>
        <v>0</v>
      </c>
      <c r="O45" s="42">
        <f t="shared" si="8"/>
        <v>0</v>
      </c>
      <c r="P45" s="42">
        <f t="shared" si="8"/>
        <v>0</v>
      </c>
    </row>
    <row r="46" spans="1:20" ht="12.75">
      <c r="A46" s="34"/>
      <c r="B46" s="34"/>
      <c r="C46" s="34"/>
      <c r="D46" s="34"/>
      <c r="E46" s="34"/>
      <c r="F46" s="52">
        <f aca="true" t="shared" si="9" ref="F46:P46">F8+F25-F9-F15</f>
        <v>0</v>
      </c>
      <c r="G46" s="52">
        <f t="shared" si="9"/>
        <v>0</v>
      </c>
      <c r="H46" s="52">
        <f t="shared" si="9"/>
        <v>0</v>
      </c>
      <c r="I46" s="52">
        <f t="shared" si="9"/>
        <v>0</v>
      </c>
      <c r="J46" s="52">
        <f t="shared" si="9"/>
        <v>0</v>
      </c>
      <c r="K46" s="52">
        <f t="shared" si="9"/>
        <v>0</v>
      </c>
      <c r="L46" s="52">
        <f t="shared" si="9"/>
        <v>0</v>
      </c>
      <c r="M46" s="52">
        <f t="shared" si="9"/>
        <v>0</v>
      </c>
      <c r="N46" s="52">
        <f t="shared" si="9"/>
        <v>0</v>
      </c>
      <c r="O46" s="52">
        <f t="shared" si="9"/>
        <v>0</v>
      </c>
      <c r="P46" s="52">
        <f t="shared" si="9"/>
        <v>0</v>
      </c>
      <c r="Q46" s="52"/>
      <c r="R46" s="34"/>
      <c r="S46" s="34"/>
      <c r="T46" s="34"/>
    </row>
    <row r="47" spans="1:20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5.5">
      <c r="A49" s="1"/>
      <c r="B49" s="2" t="s">
        <v>216</v>
      </c>
      <c r="C49" s="51">
        <f>C50+C51+C52+C53+C54+C55+C56</f>
        <v>5090247.779999999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5" ht="12.75">
      <c r="B50" s="50" t="s">
        <v>219</v>
      </c>
      <c r="C50" s="51">
        <v>900000</v>
      </c>
      <c r="E50" s="74">
        <v>3475000</v>
      </c>
    </row>
    <row r="51" spans="1:16" ht="12.75">
      <c r="A51" s="34"/>
      <c r="B51" s="49" t="s">
        <v>221</v>
      </c>
      <c r="C51" s="52">
        <v>700000</v>
      </c>
      <c r="D51" s="34"/>
      <c r="E51" s="73">
        <v>50000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2.75">
      <c r="A52" s="34"/>
      <c r="B52" s="49" t="s">
        <v>220</v>
      </c>
      <c r="C52" s="52">
        <v>1265205.72</v>
      </c>
      <c r="D52" s="34"/>
      <c r="E52" s="73">
        <v>900000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14.25" customHeight="1">
      <c r="A53" s="34"/>
      <c r="B53" s="49" t="s">
        <v>217</v>
      </c>
      <c r="C53" s="52">
        <v>2225042.06</v>
      </c>
      <c r="D53" s="34"/>
      <c r="E53" s="73">
        <v>1000000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ht="38.25">
      <c r="A54" s="1"/>
      <c r="B54" s="49" t="s">
        <v>218</v>
      </c>
      <c r="C54" s="51">
        <v>0</v>
      </c>
      <c r="D54" s="1"/>
      <c r="E54" s="74">
        <v>1000000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50"/>
      <c r="C55" s="51"/>
      <c r="D55" s="1"/>
      <c r="E55" s="74">
        <v>425000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5" ht="12.75">
      <c r="B56" s="50"/>
      <c r="C56" s="51"/>
      <c r="E56" s="74">
        <f>E50-E51-E52-E53-E54-E55</f>
        <v>100000</v>
      </c>
    </row>
    <row r="57" spans="2:3" ht="12.75">
      <c r="B57" s="1"/>
      <c r="C57" s="51"/>
    </row>
  </sheetData>
  <printOptions/>
  <pageMargins left="0.75" right="0.75" top="1" bottom="1" header="0.5" footer="0.5"/>
  <pageSetup horizontalDpi="300" verticalDpi="300" orientation="landscape" paperSize="9" scale="74" r:id="rId1"/>
  <colBreaks count="1" manualBreakCount="1">
    <brk id="1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Q24" sqref="Q24"/>
    </sheetView>
  </sheetViews>
  <sheetFormatPr defaultColWidth="9.00390625" defaultRowHeight="12.75"/>
  <cols>
    <col min="1" max="1" width="5.25390625" style="0" customWidth="1"/>
    <col min="2" max="2" width="24.125" style="0" customWidth="1"/>
    <col min="3" max="3" width="10.25390625" style="0" customWidth="1"/>
    <col min="4" max="4" width="11.25390625" style="0" customWidth="1"/>
    <col min="5" max="5" width="9.875" style="0" customWidth="1"/>
  </cols>
  <sheetData>
    <row r="1" spans="1:16" ht="12.75">
      <c r="A1" s="120" t="s">
        <v>392</v>
      </c>
      <c r="P1" t="s">
        <v>460</v>
      </c>
    </row>
    <row r="2" ht="12.75">
      <c r="A2" s="120"/>
    </row>
    <row r="3" ht="15.75">
      <c r="A3" s="118"/>
    </row>
    <row r="4" spans="1:17" ht="12.75">
      <c r="A4" s="271" t="s">
        <v>37</v>
      </c>
      <c r="B4" s="271" t="s">
        <v>336</v>
      </c>
      <c r="C4" s="195" t="s">
        <v>351</v>
      </c>
      <c r="D4" s="219"/>
      <c r="E4" s="219"/>
      <c r="F4" s="219"/>
      <c r="G4" s="219"/>
      <c r="H4" s="219"/>
      <c r="I4" s="219"/>
      <c r="J4" s="219"/>
      <c r="K4" s="219"/>
      <c r="L4" s="220"/>
      <c r="M4" s="195" t="s">
        <v>340</v>
      </c>
      <c r="N4" s="219"/>
      <c r="O4" s="219"/>
      <c r="P4" s="219"/>
      <c r="Q4" s="220"/>
    </row>
    <row r="5" spans="1:17" ht="12.75">
      <c r="A5" s="272"/>
      <c r="B5" s="272"/>
      <c r="C5" s="106">
        <v>1989</v>
      </c>
      <c r="D5" s="106">
        <v>1990</v>
      </c>
      <c r="E5" s="106">
        <v>1991</v>
      </c>
      <c r="F5" s="106">
        <v>1992</v>
      </c>
      <c r="G5" s="106">
        <v>1993</v>
      </c>
      <c r="H5" s="106">
        <v>1994</v>
      </c>
      <c r="I5" s="106">
        <v>1995</v>
      </c>
      <c r="J5" s="106">
        <v>1996</v>
      </c>
      <c r="K5" s="106">
        <v>1997</v>
      </c>
      <c r="L5" s="106">
        <v>1998</v>
      </c>
      <c r="M5" s="106">
        <v>1999</v>
      </c>
      <c r="N5" s="106">
        <v>2000</v>
      </c>
      <c r="O5" s="106">
        <v>2001</v>
      </c>
      <c r="P5" s="106">
        <v>2002</v>
      </c>
      <c r="Q5" s="106">
        <v>2003</v>
      </c>
    </row>
    <row r="6" spans="1:17" ht="12.75">
      <c r="A6" s="3" t="s">
        <v>52</v>
      </c>
      <c r="B6" s="3" t="s">
        <v>337</v>
      </c>
      <c r="C6" s="105"/>
      <c r="D6" s="105"/>
      <c r="E6" s="105"/>
      <c r="F6" s="3">
        <v>60</v>
      </c>
      <c r="G6" s="3">
        <v>58</v>
      </c>
      <c r="H6" s="3">
        <v>54</v>
      </c>
      <c r="I6" s="3">
        <v>48</v>
      </c>
      <c r="J6" s="3">
        <v>48</v>
      </c>
      <c r="K6" s="3">
        <v>40</v>
      </c>
      <c r="L6" s="3">
        <v>50</v>
      </c>
      <c r="M6" s="3">
        <v>30</v>
      </c>
      <c r="N6" s="3">
        <v>30</v>
      </c>
      <c r="O6" s="3">
        <v>25</v>
      </c>
      <c r="P6" s="3">
        <v>27</v>
      </c>
      <c r="Q6" s="3">
        <v>37</v>
      </c>
    </row>
    <row r="7" spans="1:17" ht="12.75">
      <c r="A7" s="3" t="s">
        <v>73</v>
      </c>
      <c r="B7" s="3" t="s">
        <v>338</v>
      </c>
      <c r="C7" s="105"/>
      <c r="D7" s="105"/>
      <c r="E7" s="105"/>
      <c r="F7" s="3">
        <v>27</v>
      </c>
      <c r="G7" s="3">
        <v>21</v>
      </c>
      <c r="H7" s="3">
        <v>26</v>
      </c>
      <c r="I7" s="3">
        <v>24</v>
      </c>
      <c r="J7" s="3">
        <v>24</v>
      </c>
      <c r="K7" s="3">
        <v>23</v>
      </c>
      <c r="L7" s="3">
        <v>19</v>
      </c>
      <c r="M7" s="3">
        <v>26</v>
      </c>
      <c r="N7" s="3">
        <v>19</v>
      </c>
      <c r="O7" s="3">
        <v>24</v>
      </c>
      <c r="P7" s="3">
        <v>14</v>
      </c>
      <c r="Q7" s="3">
        <v>17</v>
      </c>
    </row>
    <row r="8" spans="1:17" ht="12.75">
      <c r="A8" s="3" t="s">
        <v>111</v>
      </c>
      <c r="B8" s="3" t="s">
        <v>339</v>
      </c>
      <c r="C8" s="105"/>
      <c r="D8" s="105"/>
      <c r="E8" s="105"/>
      <c r="F8" s="3">
        <v>20</v>
      </c>
      <c r="G8" s="3">
        <v>23</v>
      </c>
      <c r="H8" s="3">
        <v>23</v>
      </c>
      <c r="I8" s="3">
        <v>23</v>
      </c>
      <c r="J8" s="3">
        <v>19</v>
      </c>
      <c r="K8" s="3">
        <v>19</v>
      </c>
      <c r="L8" s="3">
        <v>25</v>
      </c>
      <c r="M8" s="3">
        <v>19</v>
      </c>
      <c r="N8" s="3">
        <v>14</v>
      </c>
      <c r="O8" s="3">
        <v>15</v>
      </c>
      <c r="P8" s="3">
        <v>17</v>
      </c>
      <c r="Q8" s="3">
        <v>19</v>
      </c>
    </row>
    <row r="9" spans="1:17" ht="12.75">
      <c r="A9" s="3" t="s">
        <v>116</v>
      </c>
      <c r="B9" s="3" t="s">
        <v>341</v>
      </c>
      <c r="C9" s="105"/>
      <c r="D9" s="105"/>
      <c r="E9" s="105"/>
      <c r="F9" s="3">
        <v>7</v>
      </c>
      <c r="G9" s="3">
        <v>13</v>
      </c>
      <c r="H9" s="3">
        <v>9</v>
      </c>
      <c r="I9" s="3">
        <v>10</v>
      </c>
      <c r="J9" s="3">
        <v>10</v>
      </c>
      <c r="K9" s="3">
        <v>11</v>
      </c>
      <c r="L9" s="3">
        <v>7</v>
      </c>
      <c r="M9" s="3">
        <v>6</v>
      </c>
      <c r="N9" s="3">
        <v>7</v>
      </c>
      <c r="O9" s="3">
        <v>6</v>
      </c>
      <c r="P9" s="3">
        <v>8</v>
      </c>
      <c r="Q9" s="3">
        <v>11</v>
      </c>
    </row>
    <row r="10" spans="1:17" ht="12.75">
      <c r="A10" s="3" t="s">
        <v>194</v>
      </c>
      <c r="B10" s="3" t="s">
        <v>342</v>
      </c>
      <c r="C10" s="105"/>
      <c r="D10" s="105"/>
      <c r="E10" s="105"/>
      <c r="F10" s="3">
        <v>11</v>
      </c>
      <c r="G10" s="3">
        <v>14</v>
      </c>
      <c r="H10" s="3">
        <v>11</v>
      </c>
      <c r="I10" s="3">
        <v>11</v>
      </c>
      <c r="J10" s="3">
        <v>5</v>
      </c>
      <c r="K10" s="3">
        <v>10</v>
      </c>
      <c r="L10" s="3">
        <v>14</v>
      </c>
      <c r="M10" s="3">
        <v>7</v>
      </c>
      <c r="N10" s="3">
        <v>11</v>
      </c>
      <c r="O10" s="3">
        <v>5</v>
      </c>
      <c r="P10" s="3">
        <v>11</v>
      </c>
      <c r="Q10" s="3">
        <v>5</v>
      </c>
    </row>
    <row r="11" spans="1:1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3" t="s">
        <v>196</v>
      </c>
      <c r="B12" s="3" t="s">
        <v>343</v>
      </c>
      <c r="C12" s="3">
        <v>118</v>
      </c>
      <c r="D12" s="3">
        <v>119</v>
      </c>
      <c r="E12" s="3">
        <v>123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267" t="s">
        <v>34</v>
      </c>
      <c r="B14" s="268"/>
      <c r="C14" s="107">
        <f aca="true" t="shared" si="0" ref="C14:Q14">SUM(C6:C13)</f>
        <v>118</v>
      </c>
      <c r="D14" s="107">
        <f t="shared" si="0"/>
        <v>119</v>
      </c>
      <c r="E14" s="107">
        <f t="shared" si="0"/>
        <v>123</v>
      </c>
      <c r="F14" s="107">
        <f t="shared" si="0"/>
        <v>125</v>
      </c>
      <c r="G14" s="107">
        <f t="shared" si="0"/>
        <v>129</v>
      </c>
      <c r="H14" s="107">
        <f t="shared" si="0"/>
        <v>123</v>
      </c>
      <c r="I14" s="107">
        <f t="shared" si="0"/>
        <v>116</v>
      </c>
      <c r="J14" s="107">
        <f t="shared" si="0"/>
        <v>106</v>
      </c>
      <c r="K14" s="107">
        <f t="shared" si="0"/>
        <v>103</v>
      </c>
      <c r="L14" s="107">
        <f t="shared" si="0"/>
        <v>115</v>
      </c>
      <c r="M14" s="107">
        <f t="shared" si="0"/>
        <v>88</v>
      </c>
      <c r="N14" s="107">
        <f t="shared" si="0"/>
        <v>81</v>
      </c>
      <c r="O14" s="107">
        <f t="shared" si="0"/>
        <v>75</v>
      </c>
      <c r="P14" s="107">
        <f t="shared" si="0"/>
        <v>77</v>
      </c>
      <c r="Q14" s="107">
        <f t="shared" si="0"/>
        <v>89</v>
      </c>
    </row>
    <row r="15" spans="1:17" ht="37.5" customHeight="1">
      <c r="A15" s="269" t="s">
        <v>350</v>
      </c>
      <c r="B15" s="270"/>
      <c r="C15" s="108">
        <v>0</v>
      </c>
      <c r="D15" s="109">
        <f>D14/C14</f>
        <v>1.0084745762711864</v>
      </c>
      <c r="E15" s="109">
        <f>E14/C14</f>
        <v>1.0423728813559323</v>
      </c>
      <c r="F15" s="109">
        <f>F14/C14</f>
        <v>1.0593220338983051</v>
      </c>
      <c r="G15" s="109">
        <f>G14/C14</f>
        <v>1.0932203389830508</v>
      </c>
      <c r="H15" s="109">
        <f>H14/C14</f>
        <v>1.0423728813559323</v>
      </c>
      <c r="I15" s="109">
        <f>I14/C14</f>
        <v>0.9830508474576272</v>
      </c>
      <c r="J15" s="109">
        <f>J14/C14</f>
        <v>0.8983050847457628</v>
      </c>
      <c r="K15" s="109">
        <f>K14/C14</f>
        <v>0.8728813559322034</v>
      </c>
      <c r="L15" s="109">
        <f>L14/C14</f>
        <v>0.9745762711864406</v>
      </c>
      <c r="M15" s="109">
        <f>M14/C14</f>
        <v>0.7457627118644068</v>
      </c>
      <c r="N15" s="109">
        <f>N14/C14</f>
        <v>0.6864406779661016</v>
      </c>
      <c r="O15" s="109">
        <f>O14/C14</f>
        <v>0.635593220338983</v>
      </c>
      <c r="P15" s="109">
        <f>P14/C14</f>
        <v>0.652542372881356</v>
      </c>
      <c r="Q15" s="109">
        <f>Q14/C14</f>
        <v>0.7542372881355932</v>
      </c>
    </row>
  </sheetData>
  <mergeCells count="6">
    <mergeCell ref="A14:B14"/>
    <mergeCell ref="A15:B15"/>
    <mergeCell ref="A4:A5"/>
    <mergeCell ref="M4:Q4"/>
    <mergeCell ref="C4:L4"/>
    <mergeCell ref="B4:B5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H2" sqref="H2"/>
    </sheetView>
  </sheetViews>
  <sheetFormatPr defaultColWidth="9.00390625" defaultRowHeight="12.75"/>
  <sheetData>
    <row r="1" spans="1:8" ht="18">
      <c r="A1" s="96"/>
      <c r="B1" s="96"/>
      <c r="C1" s="96"/>
      <c r="D1" s="130"/>
      <c r="E1" s="96"/>
      <c r="H1" t="s">
        <v>447</v>
      </c>
    </row>
    <row r="2" spans="3:5" ht="12.75">
      <c r="C2" t="s">
        <v>435</v>
      </c>
      <c r="D2" s="131"/>
      <c r="E2" s="132">
        <f>'prognoza długu - Wersja I'!E28</f>
        <v>4315800</v>
      </c>
    </row>
    <row r="3" spans="1:5" ht="12.75">
      <c r="A3" s="189" t="s">
        <v>437</v>
      </c>
      <c r="B3" s="96"/>
      <c r="C3" s="96"/>
      <c r="D3" s="96"/>
      <c r="E3" s="133">
        <v>0.03125</v>
      </c>
    </row>
    <row r="4" spans="3:7" ht="12.75">
      <c r="C4" s="131"/>
      <c r="D4" s="131"/>
      <c r="E4" s="134"/>
      <c r="G4" s="135"/>
    </row>
    <row r="5" spans="1:7" ht="18">
      <c r="A5" s="188" t="s">
        <v>436</v>
      </c>
      <c r="B5" s="130"/>
      <c r="C5" s="130"/>
      <c r="D5" s="130"/>
      <c r="E5" s="130"/>
      <c r="F5" s="130"/>
      <c r="G5" s="130"/>
    </row>
    <row r="6" spans="1:7" ht="18.75" thickBot="1">
      <c r="A6" s="188"/>
      <c r="B6" s="130"/>
      <c r="C6" s="130"/>
      <c r="D6" s="130"/>
      <c r="E6" s="130"/>
      <c r="F6" s="130"/>
      <c r="G6" s="130"/>
    </row>
    <row r="7" spans="1:10" ht="13.5" thickBot="1">
      <c r="A7" s="136" t="s">
        <v>405</v>
      </c>
      <c r="B7" s="137"/>
      <c r="C7" s="138"/>
      <c r="D7" s="138"/>
      <c r="E7" s="138"/>
      <c r="F7" s="138"/>
      <c r="G7" s="138"/>
      <c r="H7" s="138"/>
      <c r="I7" s="138"/>
      <c r="J7" s="139"/>
    </row>
    <row r="8" spans="1:10" ht="13.5" thickBot="1">
      <c r="A8" s="140"/>
      <c r="B8" s="141">
        <v>2005</v>
      </c>
      <c r="C8" s="141">
        <v>2006</v>
      </c>
      <c r="D8" s="141">
        <v>2007</v>
      </c>
      <c r="E8" s="141">
        <v>2008</v>
      </c>
      <c r="F8" s="141">
        <v>2009</v>
      </c>
      <c r="G8" s="141">
        <v>2010</v>
      </c>
      <c r="H8" s="141">
        <v>2011</v>
      </c>
      <c r="I8" s="141">
        <v>2012</v>
      </c>
      <c r="J8" s="142">
        <v>2013</v>
      </c>
    </row>
    <row r="9" spans="1:10" ht="12.75">
      <c r="A9" s="143" t="s">
        <v>406</v>
      </c>
      <c r="B9" s="144"/>
      <c r="C9" s="144"/>
      <c r="D9" s="144"/>
      <c r="E9" s="144"/>
      <c r="F9" s="144"/>
      <c r="G9" s="144"/>
      <c r="H9" s="144"/>
      <c r="I9" s="144"/>
      <c r="J9" s="145"/>
    </row>
    <row r="10" spans="1:10" ht="12.75">
      <c r="A10" s="146" t="s">
        <v>407</v>
      </c>
      <c r="B10" s="147"/>
      <c r="C10" s="147"/>
      <c r="D10" s="147"/>
      <c r="E10" s="147"/>
      <c r="F10" s="147"/>
      <c r="G10" s="147"/>
      <c r="H10" s="147"/>
      <c r="I10" s="147"/>
      <c r="J10" s="148"/>
    </row>
    <row r="11" spans="1:10" ht="12.75">
      <c r="A11" s="146" t="s">
        <v>408</v>
      </c>
      <c r="B11" s="147"/>
      <c r="C11" s="147"/>
      <c r="D11" s="147">
        <v>45000</v>
      </c>
      <c r="E11" s="147">
        <v>163750</v>
      </c>
      <c r="F11" s="149">
        <v>232500</v>
      </c>
      <c r="G11" s="149">
        <v>232500</v>
      </c>
      <c r="H11" s="149">
        <v>232500</v>
      </c>
      <c r="I11" s="149">
        <v>232500</v>
      </c>
      <c r="J11" s="148"/>
    </row>
    <row r="12" spans="1:10" ht="12.75">
      <c r="A12" s="146" t="s">
        <v>409</v>
      </c>
      <c r="B12" s="147"/>
      <c r="C12" s="147"/>
      <c r="D12" s="147"/>
      <c r="E12" s="147"/>
      <c r="F12" s="147"/>
      <c r="G12" s="147"/>
      <c r="H12" s="147"/>
      <c r="I12" s="147"/>
      <c r="J12" s="148"/>
    </row>
    <row r="13" spans="1:10" ht="12.75">
      <c r="A13" s="146" t="s">
        <v>410</v>
      </c>
      <c r="B13" s="147"/>
      <c r="C13" s="147"/>
      <c r="D13" s="147"/>
      <c r="E13" s="147"/>
      <c r="F13" s="147"/>
      <c r="G13" s="147"/>
      <c r="H13" s="147"/>
      <c r="I13" s="147"/>
      <c r="J13" s="148"/>
    </row>
    <row r="14" spans="1:10" ht="12.75">
      <c r="A14" s="146" t="s">
        <v>411</v>
      </c>
      <c r="B14" s="147"/>
      <c r="C14" s="147"/>
      <c r="D14" s="147">
        <v>45000</v>
      </c>
      <c r="E14" s="147">
        <v>163750</v>
      </c>
      <c r="F14" s="149">
        <v>232500</v>
      </c>
      <c r="G14" s="149">
        <v>232500</v>
      </c>
      <c r="H14" s="149">
        <v>232500</v>
      </c>
      <c r="I14" s="149">
        <v>232500</v>
      </c>
      <c r="J14" s="148"/>
    </row>
    <row r="15" spans="1:10" ht="12.75">
      <c r="A15" s="146" t="s">
        <v>412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2.75">
      <c r="A16" s="146" t="s">
        <v>413</v>
      </c>
      <c r="B16" s="147"/>
      <c r="C16" s="147"/>
      <c r="D16" s="147"/>
      <c r="E16" s="147"/>
      <c r="F16" s="147"/>
      <c r="G16" s="147"/>
      <c r="H16" s="147"/>
      <c r="I16" s="147"/>
      <c r="J16" s="148"/>
    </row>
    <row r="17" spans="1:10" ht="12.75">
      <c r="A17" s="146" t="s">
        <v>414</v>
      </c>
      <c r="B17" s="147"/>
      <c r="C17" s="147"/>
      <c r="D17" s="147">
        <v>45000</v>
      </c>
      <c r="E17" s="147">
        <v>163750</v>
      </c>
      <c r="F17" s="149">
        <v>232500</v>
      </c>
      <c r="G17" s="149">
        <v>232500</v>
      </c>
      <c r="H17" s="149">
        <v>232500</v>
      </c>
      <c r="I17" s="149">
        <v>235000</v>
      </c>
      <c r="J17" s="148"/>
    </row>
    <row r="18" spans="1:10" ht="12.75">
      <c r="A18" s="146" t="s">
        <v>415</v>
      </c>
      <c r="B18" s="147"/>
      <c r="C18" s="147"/>
      <c r="D18" s="147"/>
      <c r="E18" s="147"/>
      <c r="F18" s="147"/>
      <c r="G18" s="147"/>
      <c r="H18" s="147"/>
      <c r="I18" s="147"/>
      <c r="J18" s="148"/>
    </row>
    <row r="19" spans="1:10" ht="12.75">
      <c r="A19" s="146" t="s">
        <v>416</v>
      </c>
      <c r="B19" s="147"/>
      <c r="C19" s="147"/>
      <c r="D19" s="147"/>
      <c r="E19" s="147"/>
      <c r="F19" s="147"/>
      <c r="G19" s="147"/>
      <c r="H19" s="147"/>
      <c r="I19" s="147"/>
      <c r="J19" s="148"/>
    </row>
    <row r="20" spans="1:10" ht="13.5" thickBot="1">
      <c r="A20" s="150" t="s">
        <v>417</v>
      </c>
      <c r="B20" s="149"/>
      <c r="C20" s="149"/>
      <c r="D20" s="147">
        <v>45000</v>
      </c>
      <c r="E20" s="147">
        <v>163750</v>
      </c>
      <c r="F20" s="149">
        <v>232500</v>
      </c>
      <c r="G20" s="149">
        <v>232500</v>
      </c>
      <c r="H20" s="149">
        <v>223300</v>
      </c>
      <c r="I20" s="149">
        <v>0</v>
      </c>
      <c r="J20" s="151"/>
    </row>
    <row r="21" spans="1:10" ht="13.5" thickBot="1">
      <c r="A21" s="152" t="s">
        <v>223</v>
      </c>
      <c r="B21" s="153">
        <f aca="true" t="shared" si="0" ref="B21:J21">SUM(B9:B20)</f>
        <v>0</v>
      </c>
      <c r="C21" s="153">
        <f>SUM(C9:C20)</f>
        <v>0</v>
      </c>
      <c r="D21" s="153">
        <f>SUM(D9:D20)</f>
        <v>180000</v>
      </c>
      <c r="E21" s="153">
        <f t="shared" si="0"/>
        <v>655000</v>
      </c>
      <c r="F21" s="153">
        <f t="shared" si="0"/>
        <v>930000</v>
      </c>
      <c r="G21" s="153">
        <f t="shared" si="0"/>
        <v>930000</v>
      </c>
      <c r="H21" s="153">
        <f t="shared" si="0"/>
        <v>920800</v>
      </c>
      <c r="I21" s="153">
        <f t="shared" si="0"/>
        <v>700000</v>
      </c>
      <c r="J21" s="154">
        <f t="shared" si="0"/>
        <v>0</v>
      </c>
    </row>
    <row r="22" spans="1:10" ht="12.75">
      <c r="A22" s="155"/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3.5" thickBot="1">
      <c r="A23" s="158"/>
      <c r="B23" s="159"/>
      <c r="C23" s="160" t="s">
        <v>418</v>
      </c>
      <c r="D23" s="156"/>
      <c r="E23" s="156"/>
      <c r="F23" s="156"/>
      <c r="G23" s="156"/>
      <c r="H23" s="156"/>
      <c r="I23" s="156"/>
      <c r="J23" s="157"/>
    </row>
    <row r="24" spans="1:10" ht="13.5" thickBot="1">
      <c r="A24" s="161"/>
      <c r="B24" s="141">
        <f>B8</f>
        <v>2005</v>
      </c>
      <c r="C24" s="141">
        <f aca="true" t="shared" si="1" ref="C24:I24">C8</f>
        <v>2006</v>
      </c>
      <c r="D24" s="141">
        <f t="shared" si="1"/>
        <v>2007</v>
      </c>
      <c r="E24" s="141">
        <f t="shared" si="1"/>
        <v>2008</v>
      </c>
      <c r="F24" s="141">
        <f t="shared" si="1"/>
        <v>2009</v>
      </c>
      <c r="G24" s="141">
        <f t="shared" si="1"/>
        <v>2010</v>
      </c>
      <c r="H24" s="141">
        <f t="shared" si="1"/>
        <v>2011</v>
      </c>
      <c r="I24" s="141">
        <f t="shared" si="1"/>
        <v>2012</v>
      </c>
      <c r="J24" s="142">
        <f>J8</f>
        <v>2013</v>
      </c>
    </row>
    <row r="25" spans="1:10" ht="12.75">
      <c r="A25" s="143" t="s">
        <v>406</v>
      </c>
      <c r="B25" s="162"/>
      <c r="C25" s="163">
        <f aca="true" t="shared" si="2" ref="C25:J25">B36-B20</f>
        <v>4315800</v>
      </c>
      <c r="D25" s="163">
        <f t="shared" si="2"/>
        <v>4315800</v>
      </c>
      <c r="E25" s="163">
        <f t="shared" si="2"/>
        <v>4135800</v>
      </c>
      <c r="F25" s="163">
        <f t="shared" si="2"/>
        <v>3480800</v>
      </c>
      <c r="G25" s="163">
        <f t="shared" si="2"/>
        <v>2550800</v>
      </c>
      <c r="H25" s="163">
        <f t="shared" si="2"/>
        <v>1620800</v>
      </c>
      <c r="I25" s="163">
        <f t="shared" si="2"/>
        <v>700000</v>
      </c>
      <c r="J25" s="164">
        <f t="shared" si="2"/>
        <v>0</v>
      </c>
    </row>
    <row r="26" spans="1:10" ht="12.75">
      <c r="A26" s="146" t="s">
        <v>407</v>
      </c>
      <c r="B26" s="165"/>
      <c r="C26" s="165">
        <f aca="true" t="shared" si="3" ref="B26:J36">C25-C9</f>
        <v>4315800</v>
      </c>
      <c r="D26" s="165">
        <f t="shared" si="3"/>
        <v>4315800</v>
      </c>
      <c r="E26" s="165">
        <f t="shared" si="3"/>
        <v>4135800</v>
      </c>
      <c r="F26" s="165">
        <f t="shared" si="3"/>
        <v>3480800</v>
      </c>
      <c r="G26" s="165">
        <f t="shared" si="3"/>
        <v>2550800</v>
      </c>
      <c r="H26" s="165">
        <f t="shared" si="3"/>
        <v>1620800</v>
      </c>
      <c r="I26" s="165">
        <f t="shared" si="3"/>
        <v>700000</v>
      </c>
      <c r="J26" s="166">
        <f t="shared" si="3"/>
        <v>0</v>
      </c>
    </row>
    <row r="27" spans="1:10" ht="12.75">
      <c r="A27" s="146" t="s">
        <v>408</v>
      </c>
      <c r="B27" s="165"/>
      <c r="C27" s="165">
        <f t="shared" si="3"/>
        <v>4315800</v>
      </c>
      <c r="D27" s="165">
        <f t="shared" si="3"/>
        <v>4315800</v>
      </c>
      <c r="E27" s="165">
        <f t="shared" si="3"/>
        <v>4135800</v>
      </c>
      <c r="F27" s="165">
        <f t="shared" si="3"/>
        <v>3480800</v>
      </c>
      <c r="G27" s="165">
        <f t="shared" si="3"/>
        <v>2550800</v>
      </c>
      <c r="H27" s="165">
        <f t="shared" si="3"/>
        <v>1620800</v>
      </c>
      <c r="I27" s="165">
        <f t="shared" si="3"/>
        <v>700000</v>
      </c>
      <c r="J27" s="166">
        <f t="shared" si="3"/>
        <v>0</v>
      </c>
    </row>
    <row r="28" spans="1:10" ht="12.75">
      <c r="A28" s="146" t="s">
        <v>409</v>
      </c>
      <c r="B28" s="165"/>
      <c r="C28" s="165">
        <f t="shared" si="3"/>
        <v>4315800</v>
      </c>
      <c r="D28" s="165">
        <f t="shared" si="3"/>
        <v>4270800</v>
      </c>
      <c r="E28" s="165">
        <f t="shared" si="3"/>
        <v>3972050</v>
      </c>
      <c r="F28" s="165">
        <f t="shared" si="3"/>
        <v>3248300</v>
      </c>
      <c r="G28" s="165">
        <f t="shared" si="3"/>
        <v>2318300</v>
      </c>
      <c r="H28" s="165">
        <f t="shared" si="3"/>
        <v>1388300</v>
      </c>
      <c r="I28" s="165">
        <f t="shared" si="3"/>
        <v>467500</v>
      </c>
      <c r="J28" s="166">
        <f t="shared" si="3"/>
        <v>0</v>
      </c>
    </row>
    <row r="29" spans="1:10" ht="12.75">
      <c r="A29" s="146" t="s">
        <v>410</v>
      </c>
      <c r="B29" s="165">
        <f>E2</f>
        <v>4315800</v>
      </c>
      <c r="C29" s="165">
        <f t="shared" si="3"/>
        <v>4315800</v>
      </c>
      <c r="D29" s="165">
        <f t="shared" si="3"/>
        <v>4270800</v>
      </c>
      <c r="E29" s="165">
        <f t="shared" si="3"/>
        <v>3972050</v>
      </c>
      <c r="F29" s="165">
        <f t="shared" si="3"/>
        <v>3248300</v>
      </c>
      <c r="G29" s="165">
        <f t="shared" si="3"/>
        <v>2318300</v>
      </c>
      <c r="H29" s="165">
        <f t="shared" si="3"/>
        <v>1388300</v>
      </c>
      <c r="I29" s="165">
        <f t="shared" si="3"/>
        <v>467500</v>
      </c>
      <c r="J29" s="166">
        <f t="shared" si="3"/>
        <v>0</v>
      </c>
    </row>
    <row r="30" spans="1:10" ht="12.75">
      <c r="A30" s="146" t="s">
        <v>411</v>
      </c>
      <c r="B30" s="165">
        <f t="shared" si="3"/>
        <v>4315800</v>
      </c>
      <c r="C30" s="165">
        <f t="shared" si="3"/>
        <v>4315800</v>
      </c>
      <c r="D30" s="165">
        <f t="shared" si="3"/>
        <v>4270800</v>
      </c>
      <c r="E30" s="165">
        <f t="shared" si="3"/>
        <v>3972050</v>
      </c>
      <c r="F30" s="165">
        <f t="shared" si="3"/>
        <v>3248300</v>
      </c>
      <c r="G30" s="165">
        <f t="shared" si="3"/>
        <v>2318300</v>
      </c>
      <c r="H30" s="165">
        <f t="shared" si="3"/>
        <v>1388300</v>
      </c>
      <c r="I30" s="165">
        <f t="shared" si="3"/>
        <v>467500</v>
      </c>
      <c r="J30" s="166">
        <f t="shared" si="3"/>
        <v>0</v>
      </c>
    </row>
    <row r="31" spans="1:10" ht="12.75">
      <c r="A31" s="146" t="s">
        <v>412</v>
      </c>
      <c r="B31" s="165">
        <f t="shared" si="3"/>
        <v>4315800</v>
      </c>
      <c r="C31" s="165">
        <f t="shared" si="3"/>
        <v>4315800</v>
      </c>
      <c r="D31" s="165">
        <f t="shared" si="3"/>
        <v>4225800</v>
      </c>
      <c r="E31" s="165">
        <f t="shared" si="3"/>
        <v>3808300</v>
      </c>
      <c r="F31" s="165">
        <f t="shared" si="3"/>
        <v>3015800</v>
      </c>
      <c r="G31" s="165">
        <f t="shared" si="3"/>
        <v>2085800</v>
      </c>
      <c r="H31" s="165">
        <f t="shared" si="3"/>
        <v>1155800</v>
      </c>
      <c r="I31" s="165">
        <f t="shared" si="3"/>
        <v>235000</v>
      </c>
      <c r="J31" s="166">
        <f t="shared" si="3"/>
        <v>0</v>
      </c>
    </row>
    <row r="32" spans="1:10" ht="12.75">
      <c r="A32" s="146" t="s">
        <v>413</v>
      </c>
      <c r="B32" s="165">
        <f t="shared" si="3"/>
        <v>4315800</v>
      </c>
      <c r="C32" s="165">
        <f t="shared" si="3"/>
        <v>4315800</v>
      </c>
      <c r="D32" s="165">
        <f t="shared" si="3"/>
        <v>4225800</v>
      </c>
      <c r="E32" s="165">
        <f t="shared" si="3"/>
        <v>3808300</v>
      </c>
      <c r="F32" s="165">
        <f t="shared" si="3"/>
        <v>3015800</v>
      </c>
      <c r="G32" s="165">
        <f t="shared" si="3"/>
        <v>2085800</v>
      </c>
      <c r="H32" s="165">
        <f t="shared" si="3"/>
        <v>1155800</v>
      </c>
      <c r="I32" s="165">
        <f t="shared" si="3"/>
        <v>235000</v>
      </c>
      <c r="J32" s="166">
        <f t="shared" si="3"/>
        <v>0</v>
      </c>
    </row>
    <row r="33" spans="1:10" ht="12.75">
      <c r="A33" s="146" t="s">
        <v>414</v>
      </c>
      <c r="B33" s="165">
        <f t="shared" si="3"/>
        <v>4315800</v>
      </c>
      <c r="C33" s="165">
        <f t="shared" si="3"/>
        <v>4315800</v>
      </c>
      <c r="D33" s="165">
        <f t="shared" si="3"/>
        <v>4225800</v>
      </c>
      <c r="E33" s="165">
        <f t="shared" si="3"/>
        <v>3808300</v>
      </c>
      <c r="F33" s="165">
        <f t="shared" si="3"/>
        <v>3015800</v>
      </c>
      <c r="G33" s="165">
        <f t="shared" si="3"/>
        <v>2085800</v>
      </c>
      <c r="H33" s="165">
        <f t="shared" si="3"/>
        <v>1155800</v>
      </c>
      <c r="I33" s="165">
        <f t="shared" si="3"/>
        <v>235000</v>
      </c>
      <c r="J33" s="166">
        <f t="shared" si="3"/>
        <v>0</v>
      </c>
    </row>
    <row r="34" spans="1:10" ht="12.75">
      <c r="A34" s="146" t="s">
        <v>415</v>
      </c>
      <c r="B34" s="165">
        <f t="shared" si="3"/>
        <v>4315800</v>
      </c>
      <c r="C34" s="165">
        <f t="shared" si="3"/>
        <v>4315800</v>
      </c>
      <c r="D34" s="165">
        <f t="shared" si="3"/>
        <v>4180800</v>
      </c>
      <c r="E34" s="165">
        <f t="shared" si="3"/>
        <v>3644550</v>
      </c>
      <c r="F34" s="165">
        <f t="shared" si="3"/>
        <v>2783300</v>
      </c>
      <c r="G34" s="165">
        <f t="shared" si="3"/>
        <v>1853300</v>
      </c>
      <c r="H34" s="165">
        <f t="shared" si="3"/>
        <v>923300</v>
      </c>
      <c r="I34" s="165">
        <f t="shared" si="3"/>
        <v>0</v>
      </c>
      <c r="J34" s="166">
        <f t="shared" si="3"/>
        <v>0</v>
      </c>
    </row>
    <row r="35" spans="1:10" ht="12.75">
      <c r="A35" s="146" t="s">
        <v>416</v>
      </c>
      <c r="B35" s="165">
        <f t="shared" si="3"/>
        <v>4315800</v>
      </c>
      <c r="C35" s="165">
        <f t="shared" si="3"/>
        <v>4315800</v>
      </c>
      <c r="D35" s="165">
        <f t="shared" si="3"/>
        <v>4180800</v>
      </c>
      <c r="E35" s="165">
        <f t="shared" si="3"/>
        <v>3644550</v>
      </c>
      <c r="F35" s="165">
        <f t="shared" si="3"/>
        <v>2783300</v>
      </c>
      <c r="G35" s="165">
        <f t="shared" si="3"/>
        <v>1853300</v>
      </c>
      <c r="H35" s="165">
        <f t="shared" si="3"/>
        <v>923300</v>
      </c>
      <c r="I35" s="165">
        <f t="shared" si="3"/>
        <v>0</v>
      </c>
      <c r="J35" s="166">
        <f t="shared" si="3"/>
        <v>0</v>
      </c>
    </row>
    <row r="36" spans="1:10" ht="12.75">
      <c r="A36" s="146" t="s">
        <v>417</v>
      </c>
      <c r="B36" s="165">
        <f t="shared" si="3"/>
        <v>4315800</v>
      </c>
      <c r="C36" s="165">
        <f>C35-C19</f>
        <v>4315800</v>
      </c>
      <c r="D36" s="165">
        <f>D35-D19</f>
        <v>4180800</v>
      </c>
      <c r="E36" s="165">
        <f t="shared" si="3"/>
        <v>3644550</v>
      </c>
      <c r="F36" s="165">
        <f t="shared" si="3"/>
        <v>2783300</v>
      </c>
      <c r="G36" s="165">
        <f t="shared" si="3"/>
        <v>1853300</v>
      </c>
      <c r="H36" s="165">
        <f t="shared" si="3"/>
        <v>923300</v>
      </c>
      <c r="I36" s="165">
        <f t="shared" si="3"/>
        <v>0</v>
      </c>
      <c r="J36" s="166">
        <f t="shared" si="3"/>
        <v>0</v>
      </c>
    </row>
    <row r="37" spans="1:10" ht="12.75">
      <c r="A37" s="167"/>
      <c r="B37" s="168"/>
      <c r="C37" s="168"/>
      <c r="D37" s="168"/>
      <c r="E37" s="168"/>
      <c r="F37" s="168"/>
      <c r="G37" s="168"/>
      <c r="H37" s="168"/>
      <c r="I37" s="168"/>
      <c r="J37" s="169"/>
    </row>
    <row r="38" spans="1:10" ht="12.75">
      <c r="A38" s="167"/>
      <c r="B38" s="168"/>
      <c r="C38" s="168"/>
      <c r="D38" s="168"/>
      <c r="E38" s="168"/>
      <c r="F38" s="168"/>
      <c r="G38" s="168"/>
      <c r="H38" s="168"/>
      <c r="I38" s="168"/>
      <c r="J38" s="169"/>
    </row>
    <row r="39" spans="1:10" ht="13.5" thickBot="1">
      <c r="A39" s="170" t="s">
        <v>419</v>
      </c>
      <c r="B39" s="168"/>
      <c r="C39" s="168"/>
      <c r="D39" s="171"/>
      <c r="E39" s="168"/>
      <c r="F39" s="168"/>
      <c r="G39" s="168"/>
      <c r="H39" s="168"/>
      <c r="I39" s="168"/>
      <c r="J39" s="169"/>
    </row>
    <row r="40" spans="1:10" ht="13.5" thickBot="1">
      <c r="A40" s="172"/>
      <c r="B40" s="141">
        <f>B8</f>
        <v>2005</v>
      </c>
      <c r="C40" s="141">
        <f aca="true" t="shared" si="4" ref="C40:J40">C8</f>
        <v>2006</v>
      </c>
      <c r="D40" s="141">
        <f t="shared" si="4"/>
        <v>2007</v>
      </c>
      <c r="E40" s="141">
        <f t="shared" si="4"/>
        <v>2008</v>
      </c>
      <c r="F40" s="141">
        <f t="shared" si="4"/>
        <v>2009</v>
      </c>
      <c r="G40" s="141">
        <f t="shared" si="4"/>
        <v>2010</v>
      </c>
      <c r="H40" s="141">
        <f t="shared" si="4"/>
        <v>2011</v>
      </c>
      <c r="I40" s="141">
        <f t="shared" si="4"/>
        <v>2012</v>
      </c>
      <c r="J40" s="142">
        <f t="shared" si="4"/>
        <v>2013</v>
      </c>
    </row>
    <row r="41" spans="1:11" ht="12.75">
      <c r="A41" s="143" t="s">
        <v>420</v>
      </c>
      <c r="B41" s="173">
        <f aca="true" t="shared" si="5" ref="B41:J52">B25*$E$3*$K41/365</f>
        <v>0</v>
      </c>
      <c r="C41" s="173">
        <f t="shared" si="5"/>
        <v>11454.606164383562</v>
      </c>
      <c r="D41" s="173">
        <f t="shared" si="5"/>
        <v>11454.606164383562</v>
      </c>
      <c r="E41" s="173">
        <f t="shared" si="5"/>
        <v>10976.866438356165</v>
      </c>
      <c r="F41" s="173">
        <f t="shared" si="5"/>
        <v>9238.424657534246</v>
      </c>
      <c r="G41" s="173">
        <f t="shared" si="5"/>
        <v>6770.102739726028</v>
      </c>
      <c r="H41" s="173">
        <f t="shared" si="5"/>
        <v>4301.780821917808</v>
      </c>
      <c r="I41" s="173">
        <f t="shared" si="5"/>
        <v>1857.876712328767</v>
      </c>
      <c r="J41" s="174">
        <f t="shared" si="5"/>
        <v>0</v>
      </c>
      <c r="K41">
        <v>31</v>
      </c>
    </row>
    <row r="42" spans="1:11" ht="12.75">
      <c r="A42" s="146" t="s">
        <v>421</v>
      </c>
      <c r="B42" s="175">
        <f t="shared" si="5"/>
        <v>0</v>
      </c>
      <c r="C42" s="175">
        <f t="shared" si="5"/>
        <v>10346.09589041096</v>
      </c>
      <c r="D42" s="175">
        <f t="shared" si="5"/>
        <v>10346.09589041096</v>
      </c>
      <c r="E42" s="175">
        <f t="shared" si="5"/>
        <v>9914.589041095891</v>
      </c>
      <c r="F42" s="175">
        <f t="shared" si="5"/>
        <v>8344.383561643835</v>
      </c>
      <c r="G42" s="175">
        <f t="shared" si="5"/>
        <v>6114.931506849315</v>
      </c>
      <c r="H42" s="175">
        <f t="shared" si="5"/>
        <v>3885.4794520547944</v>
      </c>
      <c r="I42" s="175">
        <f t="shared" si="5"/>
        <v>1678.0821917808219</v>
      </c>
      <c r="J42" s="176">
        <f t="shared" si="5"/>
        <v>0</v>
      </c>
      <c r="K42">
        <v>28</v>
      </c>
    </row>
    <row r="43" spans="1:11" ht="12.75">
      <c r="A43" s="146" t="s">
        <v>422</v>
      </c>
      <c r="B43" s="175">
        <f t="shared" si="5"/>
        <v>0</v>
      </c>
      <c r="C43" s="175">
        <f t="shared" si="5"/>
        <v>11454.606164383562</v>
      </c>
      <c r="D43" s="175">
        <f t="shared" si="5"/>
        <v>11454.606164383562</v>
      </c>
      <c r="E43" s="175">
        <f t="shared" si="5"/>
        <v>10976.866438356165</v>
      </c>
      <c r="F43" s="175">
        <f t="shared" si="5"/>
        <v>9238.424657534246</v>
      </c>
      <c r="G43" s="175">
        <f t="shared" si="5"/>
        <v>6770.102739726028</v>
      </c>
      <c r="H43" s="175">
        <f t="shared" si="5"/>
        <v>4301.780821917808</v>
      </c>
      <c r="I43" s="175">
        <f t="shared" si="5"/>
        <v>1857.876712328767</v>
      </c>
      <c r="J43" s="176">
        <f t="shared" si="5"/>
        <v>0</v>
      </c>
      <c r="K43">
        <v>31</v>
      </c>
    </row>
    <row r="44" spans="1:11" ht="12.75">
      <c r="A44" s="146" t="s">
        <v>423</v>
      </c>
      <c r="B44" s="175">
        <f t="shared" si="5"/>
        <v>0</v>
      </c>
      <c r="C44" s="175">
        <f t="shared" si="5"/>
        <v>11085.102739726028</v>
      </c>
      <c r="D44" s="175">
        <f t="shared" si="5"/>
        <v>10969.520547945205</v>
      </c>
      <c r="E44" s="175">
        <f t="shared" si="5"/>
        <v>10202.183219178081</v>
      </c>
      <c r="F44" s="175">
        <f t="shared" si="5"/>
        <v>8343.236301369863</v>
      </c>
      <c r="G44" s="175">
        <f t="shared" si="5"/>
        <v>5954.537671232877</v>
      </c>
      <c r="H44" s="175">
        <f t="shared" si="5"/>
        <v>3565.8390410958905</v>
      </c>
      <c r="I44" s="175">
        <f t="shared" si="5"/>
        <v>1200.7705479452054</v>
      </c>
      <c r="J44" s="176">
        <f t="shared" si="5"/>
        <v>0</v>
      </c>
      <c r="K44">
        <v>30</v>
      </c>
    </row>
    <row r="45" spans="1:11" ht="12.75">
      <c r="A45" s="146" t="s">
        <v>424</v>
      </c>
      <c r="B45" s="175">
        <f t="shared" si="5"/>
        <v>11454.606164383562</v>
      </c>
      <c r="C45" s="175">
        <f t="shared" si="5"/>
        <v>11454.606164383562</v>
      </c>
      <c r="D45" s="175">
        <f t="shared" si="5"/>
        <v>11335.171232876712</v>
      </c>
      <c r="E45" s="175">
        <f t="shared" si="5"/>
        <v>10542.255993150686</v>
      </c>
      <c r="F45" s="175">
        <f t="shared" si="5"/>
        <v>8621.344178082192</v>
      </c>
      <c r="G45" s="175">
        <f t="shared" si="5"/>
        <v>6153.022260273972</v>
      </c>
      <c r="H45" s="175">
        <f t="shared" si="5"/>
        <v>3684.7003424657532</v>
      </c>
      <c r="I45" s="175">
        <f t="shared" si="5"/>
        <v>1240.7962328767123</v>
      </c>
      <c r="J45" s="176">
        <f t="shared" si="5"/>
        <v>0</v>
      </c>
      <c r="K45">
        <v>31</v>
      </c>
    </row>
    <row r="46" spans="1:11" ht="12.75">
      <c r="A46" s="146" t="s">
        <v>425</v>
      </c>
      <c r="B46" s="175">
        <f t="shared" si="5"/>
        <v>11085.102739726028</v>
      </c>
      <c r="C46" s="175">
        <f t="shared" si="5"/>
        <v>11085.102739726028</v>
      </c>
      <c r="D46" s="175">
        <f t="shared" si="5"/>
        <v>10969.520547945205</v>
      </c>
      <c r="E46" s="175">
        <f t="shared" si="5"/>
        <v>10202.183219178081</v>
      </c>
      <c r="F46" s="175">
        <f t="shared" si="5"/>
        <v>8343.236301369863</v>
      </c>
      <c r="G46" s="175">
        <f t="shared" si="5"/>
        <v>5954.537671232877</v>
      </c>
      <c r="H46" s="175">
        <f t="shared" si="5"/>
        <v>3565.8390410958905</v>
      </c>
      <c r="I46" s="175">
        <f t="shared" si="5"/>
        <v>1200.7705479452054</v>
      </c>
      <c r="J46" s="176">
        <f t="shared" si="5"/>
        <v>0</v>
      </c>
      <c r="K46">
        <v>30</v>
      </c>
    </row>
    <row r="47" spans="1:11" ht="12.75">
      <c r="A47" s="146" t="s">
        <v>426</v>
      </c>
      <c r="B47" s="175">
        <f t="shared" si="5"/>
        <v>11454.606164383562</v>
      </c>
      <c r="C47" s="175">
        <f t="shared" si="5"/>
        <v>11454.606164383562</v>
      </c>
      <c r="D47" s="175">
        <f t="shared" si="5"/>
        <v>11215.736301369863</v>
      </c>
      <c r="E47" s="175">
        <f t="shared" si="5"/>
        <v>10107.645547945205</v>
      </c>
      <c r="F47" s="175">
        <f t="shared" si="5"/>
        <v>8004.263698630137</v>
      </c>
      <c r="G47" s="175">
        <f t="shared" si="5"/>
        <v>5535.941780821918</v>
      </c>
      <c r="H47" s="175">
        <f t="shared" si="5"/>
        <v>3067.6198630136987</v>
      </c>
      <c r="I47" s="175">
        <f t="shared" si="5"/>
        <v>623.7157534246576</v>
      </c>
      <c r="J47" s="176">
        <f t="shared" si="5"/>
        <v>0</v>
      </c>
      <c r="K47">
        <v>31</v>
      </c>
    </row>
    <row r="48" spans="1:11" ht="12.75">
      <c r="A48" s="146" t="s">
        <v>427</v>
      </c>
      <c r="B48" s="175">
        <f t="shared" si="5"/>
        <v>11454.606164383562</v>
      </c>
      <c r="C48" s="175">
        <f t="shared" si="5"/>
        <v>11454.606164383562</v>
      </c>
      <c r="D48" s="175">
        <f t="shared" si="5"/>
        <v>11215.736301369863</v>
      </c>
      <c r="E48" s="175">
        <f t="shared" si="5"/>
        <v>10107.645547945205</v>
      </c>
      <c r="F48" s="175">
        <f t="shared" si="5"/>
        <v>8004.263698630137</v>
      </c>
      <c r="G48" s="175">
        <f t="shared" si="5"/>
        <v>5535.941780821918</v>
      </c>
      <c r="H48" s="175">
        <f t="shared" si="5"/>
        <v>3067.6198630136987</v>
      </c>
      <c r="I48" s="175">
        <f t="shared" si="5"/>
        <v>623.7157534246576</v>
      </c>
      <c r="J48" s="176">
        <f t="shared" si="5"/>
        <v>0</v>
      </c>
      <c r="K48">
        <v>31</v>
      </c>
    </row>
    <row r="49" spans="1:11" ht="12.75">
      <c r="A49" s="146" t="s">
        <v>428</v>
      </c>
      <c r="B49" s="175">
        <f t="shared" si="5"/>
        <v>11085.102739726028</v>
      </c>
      <c r="C49" s="175">
        <f t="shared" si="5"/>
        <v>11085.102739726028</v>
      </c>
      <c r="D49" s="175">
        <f t="shared" si="5"/>
        <v>10853.938356164384</v>
      </c>
      <c r="E49" s="175">
        <f t="shared" si="5"/>
        <v>9781.592465753425</v>
      </c>
      <c r="F49" s="175">
        <f t="shared" si="5"/>
        <v>7746.061643835616</v>
      </c>
      <c r="G49" s="175">
        <f t="shared" si="5"/>
        <v>5357.36301369863</v>
      </c>
      <c r="H49" s="175">
        <f t="shared" si="5"/>
        <v>2968.6643835616437</v>
      </c>
      <c r="I49" s="175">
        <f t="shared" si="5"/>
        <v>603.5958904109589</v>
      </c>
      <c r="J49" s="176">
        <f t="shared" si="5"/>
        <v>0</v>
      </c>
      <c r="K49">
        <v>30</v>
      </c>
    </row>
    <row r="50" spans="1:11" ht="12.75">
      <c r="A50" s="146" t="s">
        <v>429</v>
      </c>
      <c r="B50" s="175">
        <f t="shared" si="5"/>
        <v>11454.606164383562</v>
      </c>
      <c r="C50" s="175">
        <f t="shared" si="5"/>
        <v>11454.606164383562</v>
      </c>
      <c r="D50" s="175">
        <f t="shared" si="5"/>
        <v>11096.301369863013</v>
      </c>
      <c r="E50" s="175">
        <f t="shared" si="5"/>
        <v>9673.035102739726</v>
      </c>
      <c r="F50" s="175">
        <f t="shared" si="5"/>
        <v>7387.183219178082</v>
      </c>
      <c r="G50" s="175">
        <f t="shared" si="5"/>
        <v>4918.861301369863</v>
      </c>
      <c r="H50" s="175">
        <f t="shared" si="5"/>
        <v>2450.5393835616437</v>
      </c>
      <c r="I50" s="175">
        <f t="shared" si="5"/>
        <v>0</v>
      </c>
      <c r="J50" s="176">
        <f t="shared" si="5"/>
        <v>0</v>
      </c>
      <c r="K50">
        <v>31</v>
      </c>
    </row>
    <row r="51" spans="1:11" ht="12.75">
      <c r="A51" s="146" t="s">
        <v>430</v>
      </c>
      <c r="B51" s="175">
        <f t="shared" si="5"/>
        <v>11085.102739726028</v>
      </c>
      <c r="C51" s="175">
        <f t="shared" si="5"/>
        <v>11085.102739726028</v>
      </c>
      <c r="D51" s="175">
        <f t="shared" si="5"/>
        <v>10738.356164383562</v>
      </c>
      <c r="E51" s="175">
        <f t="shared" si="5"/>
        <v>9361.001712328767</v>
      </c>
      <c r="F51" s="175">
        <f t="shared" si="5"/>
        <v>7148.88698630137</v>
      </c>
      <c r="G51" s="175">
        <f t="shared" si="5"/>
        <v>4760.188356164384</v>
      </c>
      <c r="H51" s="175">
        <f t="shared" si="5"/>
        <v>2371.4897260273974</v>
      </c>
      <c r="I51" s="175">
        <f t="shared" si="5"/>
        <v>0</v>
      </c>
      <c r="J51" s="176">
        <f t="shared" si="5"/>
        <v>0</v>
      </c>
      <c r="K51">
        <v>30</v>
      </c>
    </row>
    <row r="52" spans="1:11" ht="13.5" thickBot="1">
      <c r="A52" s="150" t="s">
        <v>431</v>
      </c>
      <c r="B52" s="177">
        <f t="shared" si="5"/>
        <v>11454.606164383562</v>
      </c>
      <c r="C52" s="177">
        <f t="shared" si="5"/>
        <v>11454.606164383562</v>
      </c>
      <c r="D52" s="177">
        <f t="shared" si="5"/>
        <v>11096.301369863013</v>
      </c>
      <c r="E52" s="177">
        <f t="shared" si="5"/>
        <v>9673.035102739726</v>
      </c>
      <c r="F52" s="177">
        <f t="shared" si="5"/>
        <v>7387.183219178082</v>
      </c>
      <c r="G52" s="177">
        <f t="shared" si="5"/>
        <v>4918.861301369863</v>
      </c>
      <c r="H52" s="177">
        <f t="shared" si="5"/>
        <v>2450.5393835616437</v>
      </c>
      <c r="I52" s="177">
        <f t="shared" si="5"/>
        <v>0</v>
      </c>
      <c r="J52" s="178">
        <f t="shared" si="5"/>
        <v>0</v>
      </c>
      <c r="K52">
        <v>31</v>
      </c>
    </row>
    <row r="53" spans="1:10" ht="13.5" thickBot="1">
      <c r="A53" s="179" t="s">
        <v>223</v>
      </c>
      <c r="B53" s="180">
        <f aca="true" t="shared" si="6" ref="B53:J53">SUM(B41:B52)</f>
        <v>90528.3390410959</v>
      </c>
      <c r="C53" s="180">
        <f t="shared" si="6"/>
        <v>134868.75</v>
      </c>
      <c r="D53" s="180">
        <f t="shared" si="6"/>
        <v>132745.89041095888</v>
      </c>
      <c r="E53" s="180">
        <f t="shared" si="6"/>
        <v>121518.89982876711</v>
      </c>
      <c r="F53" s="180">
        <f t="shared" si="6"/>
        <v>97806.89212328767</v>
      </c>
      <c r="G53" s="180">
        <f t="shared" si="6"/>
        <v>68744.39212328766</v>
      </c>
      <c r="H53" s="180">
        <f t="shared" si="6"/>
        <v>39681.892123287675</v>
      </c>
      <c r="I53" s="180">
        <f t="shared" si="6"/>
        <v>10887.200342465754</v>
      </c>
      <c r="J53" s="181">
        <f t="shared" si="6"/>
        <v>0</v>
      </c>
    </row>
    <row r="54" spans="1:10" ht="13.5" thickBot="1">
      <c r="A54" s="182" t="s">
        <v>432</v>
      </c>
      <c r="B54" s="183"/>
      <c r="C54" s="183"/>
      <c r="D54" s="183"/>
      <c r="E54" s="183"/>
      <c r="F54" s="183"/>
      <c r="G54" s="183"/>
      <c r="H54" s="183"/>
      <c r="I54" s="183"/>
      <c r="J54" s="184"/>
    </row>
    <row r="55" spans="1:10" ht="13.5" thickBot="1">
      <c r="A55" s="172"/>
      <c r="B55" s="141">
        <f>B8</f>
        <v>2005</v>
      </c>
      <c r="C55" s="141">
        <f aca="true" t="shared" si="7" ref="C55:J55">C8</f>
        <v>2006</v>
      </c>
      <c r="D55" s="141">
        <f t="shared" si="7"/>
        <v>2007</v>
      </c>
      <c r="E55" s="141">
        <f t="shared" si="7"/>
        <v>2008</v>
      </c>
      <c r="F55" s="141">
        <f t="shared" si="7"/>
        <v>2009</v>
      </c>
      <c r="G55" s="141">
        <f t="shared" si="7"/>
        <v>2010</v>
      </c>
      <c r="H55" s="141">
        <f t="shared" si="7"/>
        <v>2011</v>
      </c>
      <c r="I55" s="141">
        <f t="shared" si="7"/>
        <v>2012</v>
      </c>
      <c r="J55" s="142">
        <f t="shared" si="7"/>
        <v>2013</v>
      </c>
    </row>
    <row r="56" spans="1:10" ht="12.75">
      <c r="A56" s="143" t="s">
        <v>433</v>
      </c>
      <c r="B56" s="173">
        <f aca="true" t="shared" si="8" ref="B56:G56">B21</f>
        <v>0</v>
      </c>
      <c r="C56" s="173">
        <f t="shared" si="8"/>
        <v>0</v>
      </c>
      <c r="D56" s="173">
        <f t="shared" si="8"/>
        <v>180000</v>
      </c>
      <c r="E56" s="173">
        <f t="shared" si="8"/>
        <v>655000</v>
      </c>
      <c r="F56" s="173">
        <f t="shared" si="8"/>
        <v>930000</v>
      </c>
      <c r="G56" s="173">
        <f t="shared" si="8"/>
        <v>930000</v>
      </c>
      <c r="H56" s="173">
        <f>H21</f>
        <v>920800</v>
      </c>
      <c r="I56" s="173">
        <f>I21</f>
        <v>700000</v>
      </c>
      <c r="J56" s="174">
        <f>J21</f>
        <v>0</v>
      </c>
    </row>
    <row r="57" spans="1:10" ht="13.5" thickBot="1">
      <c r="A57" s="150" t="s">
        <v>240</v>
      </c>
      <c r="B57" s="177">
        <f aca="true" t="shared" si="9" ref="B57:G57">B53</f>
        <v>90528.3390410959</v>
      </c>
      <c r="C57" s="177">
        <f t="shared" si="9"/>
        <v>134868.75</v>
      </c>
      <c r="D57" s="177">
        <f t="shared" si="9"/>
        <v>132745.89041095888</v>
      </c>
      <c r="E57" s="177">
        <f t="shared" si="9"/>
        <v>121518.89982876711</v>
      </c>
      <c r="F57" s="177">
        <f t="shared" si="9"/>
        <v>97806.89212328767</v>
      </c>
      <c r="G57" s="177">
        <f t="shared" si="9"/>
        <v>68744.39212328766</v>
      </c>
      <c r="H57" s="177">
        <f>H53</f>
        <v>39681.892123287675</v>
      </c>
      <c r="I57" s="177">
        <f>I53</f>
        <v>10887.200342465754</v>
      </c>
      <c r="J57" s="178">
        <f>J53</f>
        <v>0</v>
      </c>
    </row>
    <row r="58" spans="1:10" ht="13.5" thickBot="1">
      <c r="A58" s="185" t="s">
        <v>434</v>
      </c>
      <c r="B58" s="186">
        <f aca="true" t="shared" si="10" ref="B58:J58">SUM(B56+B57)</f>
        <v>90528.3390410959</v>
      </c>
      <c r="C58" s="186">
        <f t="shared" si="10"/>
        <v>134868.75</v>
      </c>
      <c r="D58" s="186">
        <f t="shared" si="10"/>
        <v>312745.8904109589</v>
      </c>
      <c r="E58" s="186">
        <f t="shared" si="10"/>
        <v>776518.8998287672</v>
      </c>
      <c r="F58" s="186">
        <f t="shared" si="10"/>
        <v>1027806.8921232877</v>
      </c>
      <c r="G58" s="186">
        <f t="shared" si="10"/>
        <v>998744.3921232877</v>
      </c>
      <c r="H58" s="186">
        <f t="shared" si="10"/>
        <v>960481.8921232877</v>
      </c>
      <c r="I58" s="186">
        <f t="shared" si="10"/>
        <v>710887.2003424658</v>
      </c>
      <c r="J58" s="187">
        <f t="shared" si="10"/>
        <v>0</v>
      </c>
    </row>
    <row r="59" spans="1:6" ht="12.75">
      <c r="A59" s="131"/>
      <c r="B59" s="131"/>
      <c r="C59" s="131"/>
      <c r="D59" s="131"/>
      <c r="E59" s="131"/>
      <c r="F59" s="131"/>
    </row>
  </sheetData>
  <printOptions/>
  <pageMargins left="0.75" right="0.75" top="1" bottom="1" header="0.5" footer="0.5"/>
  <pageSetup horizontalDpi="300" verticalDpi="300" orientation="portrait" paperSize="9" scale="93" r:id="rId1"/>
  <colBreaks count="1" manualBreakCount="1">
    <brk id="1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I31" sqref="I31"/>
    </sheetView>
  </sheetViews>
  <sheetFormatPr defaultColWidth="9.00390625" defaultRowHeight="12.75"/>
  <sheetData>
    <row r="1" spans="1:10" ht="18">
      <c r="A1" s="96"/>
      <c r="B1" s="96"/>
      <c r="C1" s="96"/>
      <c r="D1" s="130"/>
      <c r="E1" s="96"/>
      <c r="J1" t="s">
        <v>461</v>
      </c>
    </row>
    <row r="2" spans="3:5" ht="12.75">
      <c r="C2" t="s">
        <v>439</v>
      </c>
      <c r="D2" s="131"/>
      <c r="E2" s="132">
        <f>'NOWE prognoza długu-Wersja II'!E28</f>
        <v>5315800</v>
      </c>
    </row>
    <row r="3" spans="1:5" ht="12.75">
      <c r="A3" s="189" t="s">
        <v>437</v>
      </c>
      <c r="B3" s="96"/>
      <c r="C3" s="96"/>
      <c r="D3" s="96"/>
      <c r="E3" s="133">
        <v>0.03125</v>
      </c>
    </row>
    <row r="4" spans="3:7" ht="12.75">
      <c r="C4" s="131"/>
      <c r="D4" s="131"/>
      <c r="E4" s="134"/>
      <c r="G4" s="135"/>
    </row>
    <row r="5" spans="1:7" ht="18">
      <c r="A5" s="188" t="s">
        <v>438</v>
      </c>
      <c r="B5" s="130"/>
      <c r="C5" s="130"/>
      <c r="D5" s="130"/>
      <c r="E5" s="130"/>
      <c r="F5" s="130"/>
      <c r="G5" s="130"/>
    </row>
    <row r="6" spans="1:7" ht="18.75" thickBot="1">
      <c r="A6" s="188"/>
      <c r="B6" s="130"/>
      <c r="C6" s="130"/>
      <c r="D6" s="130"/>
      <c r="E6" s="130"/>
      <c r="F6" s="130"/>
      <c r="G6" s="130"/>
    </row>
    <row r="7" spans="1:11" ht="13.5" thickBot="1">
      <c r="A7" s="136" t="s">
        <v>405</v>
      </c>
      <c r="B7" s="137"/>
      <c r="C7" s="138"/>
      <c r="D7" s="138"/>
      <c r="E7" s="138"/>
      <c r="F7" s="138"/>
      <c r="G7" s="138"/>
      <c r="H7" s="138"/>
      <c r="I7" s="138"/>
      <c r="J7" s="273"/>
      <c r="K7" s="274"/>
    </row>
    <row r="8" spans="1:11" ht="13.5" thickBot="1">
      <c r="A8" s="140"/>
      <c r="B8" s="141">
        <v>2005</v>
      </c>
      <c r="C8" s="141">
        <v>2006</v>
      </c>
      <c r="D8" s="141">
        <v>2007</v>
      </c>
      <c r="E8" s="141">
        <v>2008</v>
      </c>
      <c r="F8" s="141">
        <v>2009</v>
      </c>
      <c r="G8" s="141">
        <v>2010</v>
      </c>
      <c r="H8" s="141">
        <v>2011</v>
      </c>
      <c r="I8" s="141">
        <v>2012</v>
      </c>
      <c r="J8" s="142">
        <v>2013</v>
      </c>
      <c r="K8" s="142">
        <v>2014</v>
      </c>
    </row>
    <row r="9" spans="1:11" ht="12.75">
      <c r="A9" s="143" t="s">
        <v>406</v>
      </c>
      <c r="B9" s="144"/>
      <c r="C9" s="144"/>
      <c r="D9" s="144"/>
      <c r="E9" s="144"/>
      <c r="F9" s="144"/>
      <c r="G9" s="144"/>
      <c r="H9" s="144"/>
      <c r="I9" s="144"/>
      <c r="J9" s="145"/>
      <c r="K9" s="145"/>
    </row>
    <row r="10" spans="1:11" ht="12.75">
      <c r="A10" s="146" t="s">
        <v>407</v>
      </c>
      <c r="B10" s="147"/>
      <c r="C10" s="147"/>
      <c r="D10" s="147"/>
      <c r="E10" s="147"/>
      <c r="F10" s="147"/>
      <c r="G10" s="147"/>
      <c r="H10" s="147"/>
      <c r="I10" s="147"/>
      <c r="J10" s="148"/>
      <c r="K10" s="148"/>
    </row>
    <row r="11" spans="1:11" ht="12.75">
      <c r="A11" s="146" t="s">
        <v>408</v>
      </c>
      <c r="B11" s="147"/>
      <c r="C11" s="147">
        <v>50000</v>
      </c>
      <c r="D11" s="147">
        <v>45000</v>
      </c>
      <c r="E11" s="147">
        <v>163750</v>
      </c>
      <c r="F11" s="149">
        <v>232500</v>
      </c>
      <c r="G11" s="149">
        <v>232500</v>
      </c>
      <c r="H11" s="149">
        <v>232500</v>
      </c>
      <c r="I11" s="149">
        <v>232500</v>
      </c>
      <c r="J11" s="148">
        <v>200000</v>
      </c>
      <c r="K11" s="148"/>
    </row>
    <row r="12" spans="1:11" ht="12.75">
      <c r="A12" s="146" t="s">
        <v>409</v>
      </c>
      <c r="B12" s="147"/>
      <c r="C12" s="147"/>
      <c r="D12" s="147"/>
      <c r="E12" s="147"/>
      <c r="F12" s="147"/>
      <c r="G12" s="147"/>
      <c r="H12" s="147"/>
      <c r="I12" s="147"/>
      <c r="J12" s="148"/>
      <c r="K12" s="148"/>
    </row>
    <row r="13" spans="1:11" ht="12.75">
      <c r="A13" s="146" t="s">
        <v>410</v>
      </c>
      <c r="B13" s="147"/>
      <c r="C13" s="147"/>
      <c r="D13" s="147"/>
      <c r="E13" s="147"/>
      <c r="F13" s="147"/>
      <c r="G13" s="147"/>
      <c r="H13" s="147"/>
      <c r="I13" s="147"/>
      <c r="J13" s="148"/>
      <c r="K13" s="148"/>
    </row>
    <row r="14" spans="1:11" ht="12.75">
      <c r="A14" s="146" t="s">
        <v>411</v>
      </c>
      <c r="B14" s="147"/>
      <c r="C14" s="147">
        <v>50000</v>
      </c>
      <c r="D14" s="147">
        <v>45000</v>
      </c>
      <c r="E14" s="147">
        <v>163750</v>
      </c>
      <c r="F14" s="149">
        <v>232500</v>
      </c>
      <c r="G14" s="149">
        <v>232500</v>
      </c>
      <c r="H14" s="149">
        <v>232500</v>
      </c>
      <c r="I14" s="149">
        <v>232500</v>
      </c>
      <c r="J14" s="148">
        <v>200000</v>
      </c>
      <c r="K14" s="148"/>
    </row>
    <row r="15" spans="1:11" ht="12.75">
      <c r="A15" s="146" t="s">
        <v>412</v>
      </c>
      <c r="B15" s="147"/>
      <c r="C15" s="147"/>
      <c r="D15" s="147"/>
      <c r="E15" s="147"/>
      <c r="F15" s="147"/>
      <c r="G15" s="147"/>
      <c r="H15" s="147"/>
      <c r="I15" s="147"/>
      <c r="J15" s="148"/>
      <c r="K15" s="148"/>
    </row>
    <row r="16" spans="1:11" ht="12.75">
      <c r="A16" s="146" t="s">
        <v>413</v>
      </c>
      <c r="B16" s="147"/>
      <c r="C16" s="147"/>
      <c r="D16" s="147"/>
      <c r="E16" s="147"/>
      <c r="F16" s="147"/>
      <c r="G16" s="147"/>
      <c r="H16" s="147"/>
      <c r="I16" s="147"/>
      <c r="J16" s="148"/>
      <c r="K16" s="148"/>
    </row>
    <row r="17" spans="1:11" ht="12.75">
      <c r="A17" s="146" t="s">
        <v>414</v>
      </c>
      <c r="B17" s="147"/>
      <c r="C17" s="147">
        <v>50000</v>
      </c>
      <c r="D17" s="147">
        <v>45000</v>
      </c>
      <c r="E17" s="147">
        <v>163750</v>
      </c>
      <c r="F17" s="149">
        <v>232500</v>
      </c>
      <c r="G17" s="149">
        <v>232500</v>
      </c>
      <c r="H17" s="149">
        <v>232500</v>
      </c>
      <c r="I17" s="149">
        <v>232500</v>
      </c>
      <c r="J17" s="148">
        <v>160800</v>
      </c>
      <c r="K17" s="148"/>
    </row>
    <row r="18" spans="1:11" ht="12.75">
      <c r="A18" s="146" t="s">
        <v>415</v>
      </c>
      <c r="B18" s="147"/>
      <c r="C18" s="147"/>
      <c r="D18" s="147"/>
      <c r="E18" s="147"/>
      <c r="F18" s="147"/>
      <c r="G18" s="147"/>
      <c r="H18" s="147"/>
      <c r="I18" s="147"/>
      <c r="J18" s="148"/>
      <c r="K18" s="148"/>
    </row>
    <row r="19" spans="1:11" ht="12.75">
      <c r="A19" s="146" t="s">
        <v>416</v>
      </c>
      <c r="B19" s="147"/>
      <c r="C19" s="147"/>
      <c r="D19" s="147"/>
      <c r="E19" s="147"/>
      <c r="F19" s="147"/>
      <c r="G19" s="147"/>
      <c r="H19" s="147"/>
      <c r="I19" s="147"/>
      <c r="J19" s="148"/>
      <c r="K19" s="148"/>
    </row>
    <row r="20" spans="1:11" ht="13.5" thickBot="1">
      <c r="A20" s="150" t="s">
        <v>417</v>
      </c>
      <c r="B20" s="149"/>
      <c r="C20" s="147">
        <v>50000</v>
      </c>
      <c r="D20" s="147">
        <v>45000</v>
      </c>
      <c r="E20" s="147">
        <v>163750</v>
      </c>
      <c r="F20" s="149">
        <v>232500</v>
      </c>
      <c r="G20" s="149">
        <v>232500</v>
      </c>
      <c r="H20" s="149">
        <v>232500</v>
      </c>
      <c r="I20" s="149">
        <v>232500</v>
      </c>
      <c r="J20" s="148">
        <v>0</v>
      </c>
      <c r="K20" s="148"/>
    </row>
    <row r="21" spans="1:11" ht="13.5" thickBot="1">
      <c r="A21" s="152" t="s">
        <v>223</v>
      </c>
      <c r="B21" s="153">
        <f aca="true" t="shared" si="0" ref="B21:K21">SUM(B9:B20)</f>
        <v>0</v>
      </c>
      <c r="C21" s="153">
        <f>SUM(C9:C20)</f>
        <v>200000</v>
      </c>
      <c r="D21" s="153">
        <f>SUM(D9:D20)</f>
        <v>180000</v>
      </c>
      <c r="E21" s="153">
        <f t="shared" si="0"/>
        <v>655000</v>
      </c>
      <c r="F21" s="153">
        <f t="shared" si="0"/>
        <v>930000</v>
      </c>
      <c r="G21" s="153">
        <f t="shared" si="0"/>
        <v>930000</v>
      </c>
      <c r="H21" s="153">
        <f t="shared" si="0"/>
        <v>930000</v>
      </c>
      <c r="I21" s="153">
        <f t="shared" si="0"/>
        <v>930000</v>
      </c>
      <c r="J21" s="154">
        <f t="shared" si="0"/>
        <v>560800</v>
      </c>
      <c r="K21" s="154">
        <f t="shared" si="0"/>
        <v>0</v>
      </c>
    </row>
    <row r="22" spans="1:11" ht="12.75">
      <c r="A22" s="155"/>
      <c r="B22" s="156"/>
      <c r="C22" s="156"/>
      <c r="D22" s="156"/>
      <c r="E22" s="156"/>
      <c r="F22" s="156"/>
      <c r="G22" s="156"/>
      <c r="H22" s="156"/>
      <c r="I22" s="156"/>
      <c r="J22" s="157"/>
      <c r="K22" s="157"/>
    </row>
    <row r="23" spans="1:11" ht="13.5" thickBot="1">
      <c r="A23" s="158"/>
      <c r="B23" s="159"/>
      <c r="C23" s="160" t="s">
        <v>418</v>
      </c>
      <c r="D23" s="156"/>
      <c r="E23" s="156"/>
      <c r="F23" s="156"/>
      <c r="G23" s="156"/>
      <c r="H23" s="156"/>
      <c r="I23" s="156"/>
      <c r="J23" s="157"/>
      <c r="K23" s="157"/>
    </row>
    <row r="24" spans="1:11" ht="13.5" thickBot="1">
      <c r="A24" s="161"/>
      <c r="B24" s="141">
        <f>B8</f>
        <v>2005</v>
      </c>
      <c r="C24" s="141">
        <f aca="true" t="shared" si="1" ref="C24:I24">C8</f>
        <v>2006</v>
      </c>
      <c r="D24" s="141">
        <f t="shared" si="1"/>
        <v>2007</v>
      </c>
      <c r="E24" s="141">
        <f t="shared" si="1"/>
        <v>2008</v>
      </c>
      <c r="F24" s="141">
        <f t="shared" si="1"/>
        <v>2009</v>
      </c>
      <c r="G24" s="141">
        <f t="shared" si="1"/>
        <v>2010</v>
      </c>
      <c r="H24" s="141">
        <f t="shared" si="1"/>
        <v>2011</v>
      </c>
      <c r="I24" s="141">
        <f t="shared" si="1"/>
        <v>2012</v>
      </c>
      <c r="J24" s="142">
        <f>J8</f>
        <v>2013</v>
      </c>
      <c r="K24" s="142">
        <f>K8</f>
        <v>2014</v>
      </c>
    </row>
    <row r="25" spans="1:11" ht="12.75">
      <c r="A25" s="143" t="s">
        <v>406</v>
      </c>
      <c r="B25" s="162"/>
      <c r="C25" s="163">
        <f aca="true" t="shared" si="2" ref="C25:K25">B36-B20</f>
        <v>5315800</v>
      </c>
      <c r="D25" s="163">
        <f t="shared" si="2"/>
        <v>5115800</v>
      </c>
      <c r="E25" s="163">
        <f t="shared" si="2"/>
        <v>4935800</v>
      </c>
      <c r="F25" s="163">
        <f t="shared" si="2"/>
        <v>4280800</v>
      </c>
      <c r="G25" s="163">
        <f t="shared" si="2"/>
        <v>3350800</v>
      </c>
      <c r="H25" s="163">
        <f t="shared" si="2"/>
        <v>2420800</v>
      </c>
      <c r="I25" s="163">
        <f t="shared" si="2"/>
        <v>1490800</v>
      </c>
      <c r="J25" s="164">
        <f t="shared" si="2"/>
        <v>560800</v>
      </c>
      <c r="K25" s="164">
        <f t="shared" si="2"/>
        <v>0</v>
      </c>
    </row>
    <row r="26" spans="1:11" ht="12.75">
      <c r="A26" s="146" t="s">
        <v>407</v>
      </c>
      <c r="B26" s="165"/>
      <c r="C26" s="165">
        <f aca="true" t="shared" si="3" ref="B26:K36">C25-C9</f>
        <v>5315800</v>
      </c>
      <c r="D26" s="165">
        <f t="shared" si="3"/>
        <v>5115800</v>
      </c>
      <c r="E26" s="165">
        <f t="shared" si="3"/>
        <v>4935800</v>
      </c>
      <c r="F26" s="165">
        <f t="shared" si="3"/>
        <v>4280800</v>
      </c>
      <c r="G26" s="165">
        <f t="shared" si="3"/>
        <v>3350800</v>
      </c>
      <c r="H26" s="165">
        <f t="shared" si="3"/>
        <v>2420800</v>
      </c>
      <c r="I26" s="165">
        <f t="shared" si="3"/>
        <v>1490800</v>
      </c>
      <c r="J26" s="166">
        <f t="shared" si="3"/>
        <v>560800</v>
      </c>
      <c r="K26" s="166">
        <f t="shared" si="3"/>
        <v>0</v>
      </c>
    </row>
    <row r="27" spans="1:11" ht="12.75">
      <c r="A27" s="146" t="s">
        <v>408</v>
      </c>
      <c r="B27" s="165"/>
      <c r="C27" s="165">
        <f t="shared" si="3"/>
        <v>5315800</v>
      </c>
      <c r="D27" s="165">
        <f t="shared" si="3"/>
        <v>5115800</v>
      </c>
      <c r="E27" s="165">
        <f t="shared" si="3"/>
        <v>4935800</v>
      </c>
      <c r="F27" s="165">
        <f t="shared" si="3"/>
        <v>4280800</v>
      </c>
      <c r="G27" s="165">
        <f t="shared" si="3"/>
        <v>3350800</v>
      </c>
      <c r="H27" s="165">
        <f t="shared" si="3"/>
        <v>2420800</v>
      </c>
      <c r="I27" s="165">
        <f t="shared" si="3"/>
        <v>1490800</v>
      </c>
      <c r="J27" s="166">
        <f t="shared" si="3"/>
        <v>560800</v>
      </c>
      <c r="K27" s="166">
        <f t="shared" si="3"/>
        <v>0</v>
      </c>
    </row>
    <row r="28" spans="1:11" ht="12.75">
      <c r="A28" s="146" t="s">
        <v>409</v>
      </c>
      <c r="B28" s="165"/>
      <c r="C28" s="165">
        <f t="shared" si="3"/>
        <v>5265800</v>
      </c>
      <c r="D28" s="165">
        <f t="shared" si="3"/>
        <v>5070800</v>
      </c>
      <c r="E28" s="165">
        <f t="shared" si="3"/>
        <v>4772050</v>
      </c>
      <c r="F28" s="165">
        <f t="shared" si="3"/>
        <v>4048300</v>
      </c>
      <c r="G28" s="165">
        <f t="shared" si="3"/>
        <v>3118300</v>
      </c>
      <c r="H28" s="165">
        <f t="shared" si="3"/>
        <v>2188300</v>
      </c>
      <c r="I28" s="165">
        <f t="shared" si="3"/>
        <v>1258300</v>
      </c>
      <c r="J28" s="166">
        <f t="shared" si="3"/>
        <v>360800</v>
      </c>
      <c r="K28" s="166">
        <f t="shared" si="3"/>
        <v>0</v>
      </c>
    </row>
    <row r="29" spans="1:11" ht="12.75">
      <c r="A29" s="146" t="s">
        <v>410</v>
      </c>
      <c r="B29" s="165">
        <f>E2</f>
        <v>5315800</v>
      </c>
      <c r="C29" s="165">
        <f t="shared" si="3"/>
        <v>5265800</v>
      </c>
      <c r="D29" s="165">
        <f t="shared" si="3"/>
        <v>5070800</v>
      </c>
      <c r="E29" s="165">
        <f t="shared" si="3"/>
        <v>4772050</v>
      </c>
      <c r="F29" s="165">
        <f t="shared" si="3"/>
        <v>4048300</v>
      </c>
      <c r="G29" s="165">
        <f t="shared" si="3"/>
        <v>3118300</v>
      </c>
      <c r="H29" s="165">
        <f t="shared" si="3"/>
        <v>2188300</v>
      </c>
      <c r="I29" s="165">
        <f t="shared" si="3"/>
        <v>1258300</v>
      </c>
      <c r="J29" s="166">
        <f t="shared" si="3"/>
        <v>360800</v>
      </c>
      <c r="K29" s="166">
        <f t="shared" si="3"/>
        <v>0</v>
      </c>
    </row>
    <row r="30" spans="1:11" ht="12.75">
      <c r="A30" s="146" t="s">
        <v>411</v>
      </c>
      <c r="B30" s="165">
        <f t="shared" si="3"/>
        <v>5315800</v>
      </c>
      <c r="C30" s="165">
        <f t="shared" si="3"/>
        <v>5265800</v>
      </c>
      <c r="D30" s="165">
        <f t="shared" si="3"/>
        <v>5070800</v>
      </c>
      <c r="E30" s="165">
        <f t="shared" si="3"/>
        <v>4772050</v>
      </c>
      <c r="F30" s="165">
        <f t="shared" si="3"/>
        <v>4048300</v>
      </c>
      <c r="G30" s="165">
        <f t="shared" si="3"/>
        <v>3118300</v>
      </c>
      <c r="H30" s="165">
        <f t="shared" si="3"/>
        <v>2188300</v>
      </c>
      <c r="I30" s="165">
        <f t="shared" si="3"/>
        <v>1258300</v>
      </c>
      <c r="J30" s="166">
        <f t="shared" si="3"/>
        <v>360800</v>
      </c>
      <c r="K30" s="166">
        <f t="shared" si="3"/>
        <v>0</v>
      </c>
    </row>
    <row r="31" spans="1:11" ht="12.75">
      <c r="A31" s="146" t="s">
        <v>412</v>
      </c>
      <c r="B31" s="165">
        <f t="shared" si="3"/>
        <v>5315800</v>
      </c>
      <c r="C31" s="165">
        <f t="shared" si="3"/>
        <v>5215800</v>
      </c>
      <c r="D31" s="165">
        <f t="shared" si="3"/>
        <v>5025800</v>
      </c>
      <c r="E31" s="165">
        <f t="shared" si="3"/>
        <v>4608300</v>
      </c>
      <c r="F31" s="165">
        <f t="shared" si="3"/>
        <v>3815800</v>
      </c>
      <c r="G31" s="165">
        <f t="shared" si="3"/>
        <v>2885800</v>
      </c>
      <c r="H31" s="165">
        <f t="shared" si="3"/>
        <v>1955800</v>
      </c>
      <c r="I31" s="165">
        <f t="shared" si="3"/>
        <v>1025800</v>
      </c>
      <c r="J31" s="166">
        <f t="shared" si="3"/>
        <v>160800</v>
      </c>
      <c r="K31" s="166">
        <f t="shared" si="3"/>
        <v>0</v>
      </c>
    </row>
    <row r="32" spans="1:11" ht="12.75">
      <c r="A32" s="146" t="s">
        <v>413</v>
      </c>
      <c r="B32" s="165">
        <f t="shared" si="3"/>
        <v>5315800</v>
      </c>
      <c r="C32" s="165">
        <f t="shared" si="3"/>
        <v>5215800</v>
      </c>
      <c r="D32" s="165">
        <f t="shared" si="3"/>
        <v>5025800</v>
      </c>
      <c r="E32" s="165">
        <f t="shared" si="3"/>
        <v>4608300</v>
      </c>
      <c r="F32" s="165">
        <f t="shared" si="3"/>
        <v>3815800</v>
      </c>
      <c r="G32" s="165">
        <f t="shared" si="3"/>
        <v>2885800</v>
      </c>
      <c r="H32" s="165">
        <f t="shared" si="3"/>
        <v>1955800</v>
      </c>
      <c r="I32" s="165">
        <f t="shared" si="3"/>
        <v>1025800</v>
      </c>
      <c r="J32" s="166">
        <f t="shared" si="3"/>
        <v>160800</v>
      </c>
      <c r="K32" s="166">
        <f t="shared" si="3"/>
        <v>0</v>
      </c>
    </row>
    <row r="33" spans="1:11" ht="12.75">
      <c r="A33" s="146" t="s">
        <v>414</v>
      </c>
      <c r="B33" s="165">
        <f t="shared" si="3"/>
        <v>5315800</v>
      </c>
      <c r="C33" s="165">
        <f t="shared" si="3"/>
        <v>5215800</v>
      </c>
      <c r="D33" s="165">
        <f t="shared" si="3"/>
        <v>5025800</v>
      </c>
      <c r="E33" s="165">
        <f t="shared" si="3"/>
        <v>4608300</v>
      </c>
      <c r="F33" s="165">
        <f t="shared" si="3"/>
        <v>3815800</v>
      </c>
      <c r="G33" s="165">
        <f t="shared" si="3"/>
        <v>2885800</v>
      </c>
      <c r="H33" s="165">
        <f t="shared" si="3"/>
        <v>1955800</v>
      </c>
      <c r="I33" s="165">
        <f t="shared" si="3"/>
        <v>1025800</v>
      </c>
      <c r="J33" s="166">
        <f t="shared" si="3"/>
        <v>160800</v>
      </c>
      <c r="K33" s="166">
        <f t="shared" si="3"/>
        <v>0</v>
      </c>
    </row>
    <row r="34" spans="1:11" ht="12.75">
      <c r="A34" s="146" t="s">
        <v>415</v>
      </c>
      <c r="B34" s="165">
        <f t="shared" si="3"/>
        <v>5315800</v>
      </c>
      <c r="C34" s="165">
        <f t="shared" si="3"/>
        <v>5165800</v>
      </c>
      <c r="D34" s="165">
        <f t="shared" si="3"/>
        <v>4980800</v>
      </c>
      <c r="E34" s="165">
        <f t="shared" si="3"/>
        <v>4444550</v>
      </c>
      <c r="F34" s="165">
        <f t="shared" si="3"/>
        <v>3583300</v>
      </c>
      <c r="G34" s="165">
        <f t="shared" si="3"/>
        <v>2653300</v>
      </c>
      <c r="H34" s="165">
        <f t="shared" si="3"/>
        <v>1723300</v>
      </c>
      <c r="I34" s="165">
        <f t="shared" si="3"/>
        <v>793300</v>
      </c>
      <c r="J34" s="166">
        <f t="shared" si="3"/>
        <v>0</v>
      </c>
      <c r="K34" s="166">
        <f t="shared" si="3"/>
        <v>0</v>
      </c>
    </row>
    <row r="35" spans="1:11" ht="12.75">
      <c r="A35" s="146" t="s">
        <v>416</v>
      </c>
      <c r="B35" s="165">
        <f t="shared" si="3"/>
        <v>5315800</v>
      </c>
      <c r="C35" s="165">
        <f t="shared" si="3"/>
        <v>5165800</v>
      </c>
      <c r="D35" s="165">
        <f t="shared" si="3"/>
        <v>4980800</v>
      </c>
      <c r="E35" s="165">
        <f t="shared" si="3"/>
        <v>4444550</v>
      </c>
      <c r="F35" s="165">
        <f t="shared" si="3"/>
        <v>3583300</v>
      </c>
      <c r="G35" s="165">
        <f t="shared" si="3"/>
        <v>2653300</v>
      </c>
      <c r="H35" s="165">
        <f t="shared" si="3"/>
        <v>1723300</v>
      </c>
      <c r="I35" s="165">
        <f t="shared" si="3"/>
        <v>793300</v>
      </c>
      <c r="J35" s="166">
        <f t="shared" si="3"/>
        <v>0</v>
      </c>
      <c r="K35" s="166">
        <f t="shared" si="3"/>
        <v>0</v>
      </c>
    </row>
    <row r="36" spans="1:11" ht="12.75">
      <c r="A36" s="146" t="s">
        <v>417</v>
      </c>
      <c r="B36" s="165">
        <f t="shared" si="3"/>
        <v>5315800</v>
      </c>
      <c r="C36" s="165">
        <f>C35-C19</f>
        <v>5165800</v>
      </c>
      <c r="D36" s="165">
        <f>D35-D19</f>
        <v>4980800</v>
      </c>
      <c r="E36" s="165">
        <f t="shared" si="3"/>
        <v>4444550</v>
      </c>
      <c r="F36" s="165">
        <f t="shared" si="3"/>
        <v>3583300</v>
      </c>
      <c r="G36" s="165">
        <f t="shared" si="3"/>
        <v>2653300</v>
      </c>
      <c r="H36" s="165">
        <f t="shared" si="3"/>
        <v>1723300</v>
      </c>
      <c r="I36" s="165">
        <f t="shared" si="3"/>
        <v>793300</v>
      </c>
      <c r="J36" s="166">
        <f t="shared" si="3"/>
        <v>0</v>
      </c>
      <c r="K36" s="166">
        <f t="shared" si="3"/>
        <v>0</v>
      </c>
    </row>
    <row r="37" spans="1:11" ht="12.75">
      <c r="A37" s="167"/>
      <c r="B37" s="168"/>
      <c r="C37" s="168"/>
      <c r="D37" s="168"/>
      <c r="E37" s="168"/>
      <c r="F37" s="168"/>
      <c r="G37" s="168"/>
      <c r="H37" s="168"/>
      <c r="I37" s="168"/>
      <c r="J37" s="169"/>
      <c r="K37" s="169"/>
    </row>
    <row r="38" spans="1:11" ht="12.75">
      <c r="A38" s="167"/>
      <c r="B38" s="168"/>
      <c r="C38" s="168"/>
      <c r="D38" s="168"/>
      <c r="E38" s="168"/>
      <c r="F38" s="168"/>
      <c r="G38" s="168"/>
      <c r="H38" s="168"/>
      <c r="I38" s="168"/>
      <c r="J38" s="169"/>
      <c r="K38" s="169"/>
    </row>
    <row r="39" spans="1:11" ht="13.5" thickBot="1">
      <c r="A39" s="170" t="s">
        <v>419</v>
      </c>
      <c r="B39" s="168"/>
      <c r="C39" s="168"/>
      <c r="D39" s="171"/>
      <c r="E39" s="168"/>
      <c r="F39" s="168"/>
      <c r="G39" s="168"/>
      <c r="H39" s="168"/>
      <c r="I39" s="168"/>
      <c r="J39" s="169"/>
      <c r="K39" s="169"/>
    </row>
    <row r="40" spans="1:11" ht="13.5" thickBot="1">
      <c r="A40" s="172"/>
      <c r="B40" s="141">
        <f>B8</f>
        <v>2005</v>
      </c>
      <c r="C40" s="141">
        <f aca="true" t="shared" si="4" ref="C40:J40">C8</f>
        <v>2006</v>
      </c>
      <c r="D40" s="141">
        <f t="shared" si="4"/>
        <v>2007</v>
      </c>
      <c r="E40" s="141">
        <f t="shared" si="4"/>
        <v>2008</v>
      </c>
      <c r="F40" s="141">
        <f t="shared" si="4"/>
        <v>2009</v>
      </c>
      <c r="G40" s="141">
        <f t="shared" si="4"/>
        <v>2010</v>
      </c>
      <c r="H40" s="141">
        <f t="shared" si="4"/>
        <v>2011</v>
      </c>
      <c r="I40" s="141">
        <f t="shared" si="4"/>
        <v>2012</v>
      </c>
      <c r="J40" s="142">
        <f t="shared" si="4"/>
        <v>2013</v>
      </c>
      <c r="K40" s="142">
        <f>K8</f>
        <v>2014</v>
      </c>
    </row>
    <row r="41" spans="1:12" ht="12.75">
      <c r="A41" s="143" t="s">
        <v>420</v>
      </c>
      <c r="B41" s="174">
        <f aca="true" t="shared" si="5" ref="B41:K52">B25*$E$3*$L41/365</f>
        <v>0</v>
      </c>
      <c r="C41" s="174">
        <f t="shared" si="5"/>
        <v>14108.715753424658</v>
      </c>
      <c r="D41" s="174">
        <f t="shared" si="5"/>
        <v>13577.893835616438</v>
      </c>
      <c r="E41" s="174">
        <f t="shared" si="5"/>
        <v>13100.15410958904</v>
      </c>
      <c r="F41" s="174">
        <f t="shared" si="5"/>
        <v>11361.712328767124</v>
      </c>
      <c r="G41" s="174">
        <f t="shared" si="5"/>
        <v>8893.390410958904</v>
      </c>
      <c r="H41" s="174">
        <f t="shared" si="5"/>
        <v>6425.068493150685</v>
      </c>
      <c r="I41" s="174">
        <f t="shared" si="5"/>
        <v>3956.746575342466</v>
      </c>
      <c r="J41" s="174">
        <f t="shared" si="5"/>
        <v>1488.4246575342465</v>
      </c>
      <c r="K41" s="174">
        <f t="shared" si="5"/>
        <v>0</v>
      </c>
      <c r="L41">
        <v>31</v>
      </c>
    </row>
    <row r="42" spans="1:12" ht="12.75">
      <c r="A42" s="146" t="s">
        <v>421</v>
      </c>
      <c r="B42" s="176">
        <f t="shared" si="5"/>
        <v>0</v>
      </c>
      <c r="C42" s="176">
        <f t="shared" si="5"/>
        <v>12743.356164383562</v>
      </c>
      <c r="D42" s="176">
        <f t="shared" si="5"/>
        <v>12263.90410958904</v>
      </c>
      <c r="E42" s="176">
        <f t="shared" si="5"/>
        <v>11832.397260273972</v>
      </c>
      <c r="F42" s="176">
        <f t="shared" si="5"/>
        <v>10262.191780821919</v>
      </c>
      <c r="G42" s="176">
        <f t="shared" si="5"/>
        <v>8032.739726027397</v>
      </c>
      <c r="H42" s="176">
        <f t="shared" si="5"/>
        <v>5803.287671232877</v>
      </c>
      <c r="I42" s="176">
        <f t="shared" si="5"/>
        <v>3573.8356164383563</v>
      </c>
      <c r="J42" s="176">
        <f t="shared" si="5"/>
        <v>1344.3835616438357</v>
      </c>
      <c r="K42" s="176">
        <f t="shared" si="5"/>
        <v>0</v>
      </c>
      <c r="L42">
        <v>28</v>
      </c>
    </row>
    <row r="43" spans="1:12" ht="12.75">
      <c r="A43" s="146" t="s">
        <v>422</v>
      </c>
      <c r="B43" s="176">
        <f t="shared" si="5"/>
        <v>0</v>
      </c>
      <c r="C43" s="176">
        <f t="shared" si="5"/>
        <v>14108.715753424658</v>
      </c>
      <c r="D43" s="176">
        <f t="shared" si="5"/>
        <v>13577.893835616438</v>
      </c>
      <c r="E43" s="176">
        <f t="shared" si="5"/>
        <v>13100.15410958904</v>
      </c>
      <c r="F43" s="176">
        <f t="shared" si="5"/>
        <v>11361.712328767124</v>
      </c>
      <c r="G43" s="176">
        <f t="shared" si="5"/>
        <v>8893.390410958904</v>
      </c>
      <c r="H43" s="176">
        <f t="shared" si="5"/>
        <v>6425.068493150685</v>
      </c>
      <c r="I43" s="176">
        <f t="shared" si="5"/>
        <v>3956.746575342466</v>
      </c>
      <c r="J43" s="176">
        <f t="shared" si="5"/>
        <v>1488.4246575342465</v>
      </c>
      <c r="K43" s="176">
        <f t="shared" si="5"/>
        <v>0</v>
      </c>
      <c r="L43">
        <v>31</v>
      </c>
    </row>
    <row r="44" spans="1:12" ht="12.75">
      <c r="A44" s="146" t="s">
        <v>423</v>
      </c>
      <c r="B44" s="176">
        <f t="shared" si="5"/>
        <v>0</v>
      </c>
      <c r="C44" s="176">
        <f t="shared" si="5"/>
        <v>13525.171232876712</v>
      </c>
      <c r="D44" s="176">
        <f t="shared" si="5"/>
        <v>13024.315068493152</v>
      </c>
      <c r="E44" s="176">
        <f t="shared" si="5"/>
        <v>12256.977739726028</v>
      </c>
      <c r="F44" s="176">
        <f t="shared" si="5"/>
        <v>10398.030821917808</v>
      </c>
      <c r="G44" s="176">
        <f t="shared" si="5"/>
        <v>8009.332191780822</v>
      </c>
      <c r="H44" s="176">
        <f t="shared" si="5"/>
        <v>5620.6335616438355</v>
      </c>
      <c r="I44" s="176">
        <f t="shared" si="5"/>
        <v>3231.9349315068494</v>
      </c>
      <c r="J44" s="176">
        <f t="shared" si="5"/>
        <v>926.7123287671233</v>
      </c>
      <c r="K44" s="176">
        <f t="shared" si="5"/>
        <v>0</v>
      </c>
      <c r="L44">
        <v>30</v>
      </c>
    </row>
    <row r="45" spans="1:12" ht="12.75">
      <c r="A45" s="146" t="s">
        <v>424</v>
      </c>
      <c r="B45" s="176">
        <f t="shared" si="5"/>
        <v>14108.715753424658</v>
      </c>
      <c r="C45" s="176">
        <f t="shared" si="5"/>
        <v>13976.010273972603</v>
      </c>
      <c r="D45" s="176">
        <f t="shared" si="5"/>
        <v>13458.45890410959</v>
      </c>
      <c r="E45" s="176">
        <f t="shared" si="5"/>
        <v>12665.543664383562</v>
      </c>
      <c r="F45" s="176">
        <f t="shared" si="5"/>
        <v>10744.631849315068</v>
      </c>
      <c r="G45" s="176">
        <f t="shared" si="5"/>
        <v>8276.309931506848</v>
      </c>
      <c r="H45" s="176">
        <f t="shared" si="5"/>
        <v>5807.98801369863</v>
      </c>
      <c r="I45" s="176">
        <f t="shared" si="5"/>
        <v>3339.666095890411</v>
      </c>
      <c r="J45" s="176">
        <f t="shared" si="5"/>
        <v>957.6027397260274</v>
      </c>
      <c r="K45" s="176">
        <f t="shared" si="5"/>
        <v>0</v>
      </c>
      <c r="L45">
        <v>31</v>
      </c>
    </row>
    <row r="46" spans="1:12" ht="12.75">
      <c r="A46" s="146" t="s">
        <v>425</v>
      </c>
      <c r="B46" s="176">
        <f t="shared" si="5"/>
        <v>13653.59589041096</v>
      </c>
      <c r="C46" s="176">
        <f t="shared" si="5"/>
        <v>13525.171232876712</v>
      </c>
      <c r="D46" s="176">
        <f t="shared" si="5"/>
        <v>13024.315068493152</v>
      </c>
      <c r="E46" s="176">
        <f t="shared" si="5"/>
        <v>12256.977739726028</v>
      </c>
      <c r="F46" s="176">
        <f t="shared" si="5"/>
        <v>10398.030821917808</v>
      </c>
      <c r="G46" s="176">
        <f t="shared" si="5"/>
        <v>8009.332191780822</v>
      </c>
      <c r="H46" s="176">
        <f t="shared" si="5"/>
        <v>5620.6335616438355</v>
      </c>
      <c r="I46" s="176">
        <f t="shared" si="5"/>
        <v>3231.9349315068494</v>
      </c>
      <c r="J46" s="176">
        <f t="shared" si="5"/>
        <v>926.7123287671233</v>
      </c>
      <c r="K46" s="176">
        <f t="shared" si="5"/>
        <v>0</v>
      </c>
      <c r="L46">
        <v>30</v>
      </c>
    </row>
    <row r="47" spans="1:12" ht="12.75">
      <c r="A47" s="146" t="s">
        <v>426</v>
      </c>
      <c r="B47" s="176">
        <f t="shared" si="5"/>
        <v>14108.715753424658</v>
      </c>
      <c r="C47" s="176">
        <f t="shared" si="5"/>
        <v>13843.304794520547</v>
      </c>
      <c r="D47" s="176">
        <f t="shared" si="5"/>
        <v>13339.02397260274</v>
      </c>
      <c r="E47" s="176">
        <f t="shared" si="5"/>
        <v>12230.933219178081</v>
      </c>
      <c r="F47" s="176">
        <f t="shared" si="5"/>
        <v>10127.551369863013</v>
      </c>
      <c r="G47" s="176">
        <f t="shared" si="5"/>
        <v>7659.229452054795</v>
      </c>
      <c r="H47" s="176">
        <f t="shared" si="5"/>
        <v>5190.907534246576</v>
      </c>
      <c r="I47" s="176">
        <f t="shared" si="5"/>
        <v>2722.5856164383563</v>
      </c>
      <c r="J47" s="176">
        <f t="shared" si="5"/>
        <v>426.7808219178082</v>
      </c>
      <c r="K47" s="176">
        <f t="shared" si="5"/>
        <v>0</v>
      </c>
      <c r="L47">
        <v>31</v>
      </c>
    </row>
    <row r="48" spans="1:12" ht="12.75">
      <c r="A48" s="146" t="s">
        <v>427</v>
      </c>
      <c r="B48" s="176">
        <f t="shared" si="5"/>
        <v>14108.715753424658</v>
      </c>
      <c r="C48" s="176">
        <f t="shared" si="5"/>
        <v>13843.304794520547</v>
      </c>
      <c r="D48" s="176">
        <f t="shared" si="5"/>
        <v>13339.02397260274</v>
      </c>
      <c r="E48" s="176">
        <f t="shared" si="5"/>
        <v>12230.933219178081</v>
      </c>
      <c r="F48" s="176">
        <f t="shared" si="5"/>
        <v>10127.551369863013</v>
      </c>
      <c r="G48" s="176">
        <f t="shared" si="5"/>
        <v>7659.229452054795</v>
      </c>
      <c r="H48" s="176">
        <f t="shared" si="5"/>
        <v>5190.907534246576</v>
      </c>
      <c r="I48" s="176">
        <f t="shared" si="5"/>
        <v>2722.5856164383563</v>
      </c>
      <c r="J48" s="176">
        <f t="shared" si="5"/>
        <v>426.7808219178082</v>
      </c>
      <c r="K48" s="176">
        <f t="shared" si="5"/>
        <v>0</v>
      </c>
      <c r="L48">
        <v>31</v>
      </c>
    </row>
    <row r="49" spans="1:12" ht="12.75">
      <c r="A49" s="146" t="s">
        <v>428</v>
      </c>
      <c r="B49" s="176">
        <f t="shared" si="5"/>
        <v>13653.59589041096</v>
      </c>
      <c r="C49" s="176">
        <f t="shared" si="5"/>
        <v>13396.746575342466</v>
      </c>
      <c r="D49" s="176">
        <f t="shared" si="5"/>
        <v>12908.732876712329</v>
      </c>
      <c r="E49" s="176">
        <f t="shared" si="5"/>
        <v>11836.38698630137</v>
      </c>
      <c r="F49" s="176">
        <f t="shared" si="5"/>
        <v>9800.856164383562</v>
      </c>
      <c r="G49" s="176">
        <f t="shared" si="5"/>
        <v>7412.157534246576</v>
      </c>
      <c r="H49" s="176">
        <f t="shared" si="5"/>
        <v>5023.458904109589</v>
      </c>
      <c r="I49" s="176">
        <f t="shared" si="5"/>
        <v>2634.7602739726026</v>
      </c>
      <c r="J49" s="176">
        <f t="shared" si="5"/>
        <v>413.013698630137</v>
      </c>
      <c r="K49" s="176">
        <f t="shared" si="5"/>
        <v>0</v>
      </c>
      <c r="L49">
        <v>30</v>
      </c>
    </row>
    <row r="50" spans="1:12" ht="12.75">
      <c r="A50" s="146" t="s">
        <v>429</v>
      </c>
      <c r="B50" s="176">
        <f t="shared" si="5"/>
        <v>14108.715753424658</v>
      </c>
      <c r="C50" s="176">
        <f t="shared" si="5"/>
        <v>13710.599315068494</v>
      </c>
      <c r="D50" s="176">
        <f t="shared" si="5"/>
        <v>13219.589041095891</v>
      </c>
      <c r="E50" s="176">
        <f t="shared" si="5"/>
        <v>11796.322773972603</v>
      </c>
      <c r="F50" s="176">
        <f t="shared" si="5"/>
        <v>9510.47089041096</v>
      </c>
      <c r="G50" s="176">
        <f t="shared" si="5"/>
        <v>7042.148972602739</v>
      </c>
      <c r="H50" s="176">
        <f t="shared" si="5"/>
        <v>4573.82705479452</v>
      </c>
      <c r="I50" s="176">
        <f t="shared" si="5"/>
        <v>2105.5051369863013</v>
      </c>
      <c r="J50" s="176">
        <f t="shared" si="5"/>
        <v>0</v>
      </c>
      <c r="K50" s="176">
        <f t="shared" si="5"/>
        <v>0</v>
      </c>
      <c r="L50">
        <v>31</v>
      </c>
    </row>
    <row r="51" spans="1:12" ht="12.75">
      <c r="A51" s="146" t="s">
        <v>430</v>
      </c>
      <c r="B51" s="176">
        <f t="shared" si="5"/>
        <v>13653.59589041096</v>
      </c>
      <c r="C51" s="176">
        <f t="shared" si="5"/>
        <v>13268.32191780822</v>
      </c>
      <c r="D51" s="176">
        <f t="shared" si="5"/>
        <v>12793.150684931506</v>
      </c>
      <c r="E51" s="176">
        <f t="shared" si="5"/>
        <v>11415.796232876712</v>
      </c>
      <c r="F51" s="176">
        <f t="shared" si="5"/>
        <v>9203.681506849314</v>
      </c>
      <c r="G51" s="176">
        <f t="shared" si="5"/>
        <v>6814.982876712329</v>
      </c>
      <c r="H51" s="176">
        <f t="shared" si="5"/>
        <v>4426.284246575343</v>
      </c>
      <c r="I51" s="176">
        <f t="shared" si="5"/>
        <v>2037.585616438356</v>
      </c>
      <c r="J51" s="176">
        <f t="shared" si="5"/>
        <v>0</v>
      </c>
      <c r="K51" s="176">
        <f t="shared" si="5"/>
        <v>0</v>
      </c>
      <c r="L51">
        <v>30</v>
      </c>
    </row>
    <row r="52" spans="1:12" ht="13.5" thickBot="1">
      <c r="A52" s="150" t="s">
        <v>431</v>
      </c>
      <c r="B52" s="178">
        <f t="shared" si="5"/>
        <v>14108.715753424658</v>
      </c>
      <c r="C52" s="178">
        <f t="shared" si="5"/>
        <v>13710.599315068494</v>
      </c>
      <c r="D52" s="178">
        <f t="shared" si="5"/>
        <v>13219.589041095891</v>
      </c>
      <c r="E52" s="178">
        <f t="shared" si="5"/>
        <v>11796.322773972603</v>
      </c>
      <c r="F52" s="178">
        <f t="shared" si="5"/>
        <v>9510.47089041096</v>
      </c>
      <c r="G52" s="178">
        <f t="shared" si="5"/>
        <v>7042.148972602739</v>
      </c>
      <c r="H52" s="178">
        <f t="shared" si="5"/>
        <v>4573.82705479452</v>
      </c>
      <c r="I52" s="178">
        <f t="shared" si="5"/>
        <v>2105.5051369863013</v>
      </c>
      <c r="J52" s="178">
        <f t="shared" si="5"/>
        <v>0</v>
      </c>
      <c r="K52" s="178">
        <f t="shared" si="5"/>
        <v>0</v>
      </c>
      <c r="L52">
        <v>31</v>
      </c>
    </row>
    <row r="53" spans="1:11" ht="13.5" thickBot="1">
      <c r="A53" s="179" t="s">
        <v>223</v>
      </c>
      <c r="B53" s="180">
        <f aca="true" t="shared" si="6" ref="B53:K53">SUM(B41:B52)</f>
        <v>111504.36643835617</v>
      </c>
      <c r="C53" s="180">
        <f t="shared" si="6"/>
        <v>163760.01712328763</v>
      </c>
      <c r="D53" s="180">
        <f t="shared" si="6"/>
        <v>157745.8904109589</v>
      </c>
      <c r="E53" s="180">
        <f t="shared" si="6"/>
        <v>146518.89982876714</v>
      </c>
      <c r="F53" s="180">
        <f t="shared" si="6"/>
        <v>122806.89212328766</v>
      </c>
      <c r="G53" s="180">
        <f t="shared" si="6"/>
        <v>93744.39212328766</v>
      </c>
      <c r="H53" s="180">
        <f t="shared" si="6"/>
        <v>64681.892123287675</v>
      </c>
      <c r="I53" s="180">
        <f t="shared" si="6"/>
        <v>35619.39212328767</v>
      </c>
      <c r="J53" s="181">
        <f t="shared" si="6"/>
        <v>8398.835616438355</v>
      </c>
      <c r="K53" s="181">
        <f t="shared" si="6"/>
        <v>0</v>
      </c>
    </row>
    <row r="54" spans="1:11" ht="13.5" thickBot="1">
      <c r="A54" s="182" t="s">
        <v>432</v>
      </c>
      <c r="B54" s="183"/>
      <c r="C54" s="183"/>
      <c r="D54" s="183"/>
      <c r="E54" s="183"/>
      <c r="F54" s="183"/>
      <c r="G54" s="183"/>
      <c r="H54" s="183"/>
      <c r="I54" s="183"/>
      <c r="J54" s="184"/>
      <c r="K54" s="184"/>
    </row>
    <row r="55" spans="1:11" ht="13.5" thickBot="1">
      <c r="A55" s="172"/>
      <c r="B55" s="141">
        <f>B8</f>
        <v>2005</v>
      </c>
      <c r="C55" s="141">
        <f aca="true" t="shared" si="7" ref="C55:J55">C8</f>
        <v>2006</v>
      </c>
      <c r="D55" s="141">
        <f t="shared" si="7"/>
        <v>2007</v>
      </c>
      <c r="E55" s="141">
        <f t="shared" si="7"/>
        <v>2008</v>
      </c>
      <c r="F55" s="141">
        <f t="shared" si="7"/>
        <v>2009</v>
      </c>
      <c r="G55" s="141">
        <f t="shared" si="7"/>
        <v>2010</v>
      </c>
      <c r="H55" s="141">
        <f t="shared" si="7"/>
        <v>2011</v>
      </c>
      <c r="I55" s="141">
        <f t="shared" si="7"/>
        <v>2012</v>
      </c>
      <c r="J55" s="142">
        <f t="shared" si="7"/>
        <v>2013</v>
      </c>
      <c r="K55" s="142">
        <f>K8</f>
        <v>2014</v>
      </c>
    </row>
    <row r="56" spans="1:11" ht="12.75">
      <c r="A56" s="143" t="s">
        <v>433</v>
      </c>
      <c r="B56" s="173">
        <f aca="true" t="shared" si="8" ref="B56:G56">B21</f>
        <v>0</v>
      </c>
      <c r="C56" s="173">
        <f t="shared" si="8"/>
        <v>200000</v>
      </c>
      <c r="D56" s="173">
        <f t="shared" si="8"/>
        <v>180000</v>
      </c>
      <c r="E56" s="173">
        <f t="shared" si="8"/>
        <v>655000</v>
      </c>
      <c r="F56" s="173">
        <f t="shared" si="8"/>
        <v>930000</v>
      </c>
      <c r="G56" s="173">
        <f t="shared" si="8"/>
        <v>930000</v>
      </c>
      <c r="H56" s="173">
        <f>H21</f>
        <v>930000</v>
      </c>
      <c r="I56" s="173">
        <f>I21</f>
        <v>930000</v>
      </c>
      <c r="J56" s="174">
        <f>J21</f>
        <v>560800</v>
      </c>
      <c r="K56" s="174">
        <f>K21</f>
        <v>0</v>
      </c>
    </row>
    <row r="57" spans="1:11" ht="13.5" thickBot="1">
      <c r="A57" s="150" t="s">
        <v>240</v>
      </c>
      <c r="B57" s="177">
        <f aca="true" t="shared" si="9" ref="B57:G57">B53</f>
        <v>111504.36643835617</v>
      </c>
      <c r="C57" s="177">
        <f t="shared" si="9"/>
        <v>163760.01712328763</v>
      </c>
      <c r="D57" s="177">
        <f t="shared" si="9"/>
        <v>157745.8904109589</v>
      </c>
      <c r="E57" s="177">
        <f t="shared" si="9"/>
        <v>146518.89982876714</v>
      </c>
      <c r="F57" s="177">
        <f t="shared" si="9"/>
        <v>122806.89212328766</v>
      </c>
      <c r="G57" s="177">
        <f t="shared" si="9"/>
        <v>93744.39212328766</v>
      </c>
      <c r="H57" s="177">
        <f>H53</f>
        <v>64681.892123287675</v>
      </c>
      <c r="I57" s="177">
        <f>I53</f>
        <v>35619.39212328767</v>
      </c>
      <c r="J57" s="178">
        <f>J53</f>
        <v>8398.835616438355</v>
      </c>
      <c r="K57" s="178">
        <f>K53</f>
        <v>0</v>
      </c>
    </row>
    <row r="58" spans="1:11" ht="13.5" thickBot="1">
      <c r="A58" s="185" t="s">
        <v>434</v>
      </c>
      <c r="B58" s="186">
        <f aca="true" t="shared" si="10" ref="B58:K58">SUM(B56+B57)</f>
        <v>111504.36643835617</v>
      </c>
      <c r="C58" s="186">
        <f t="shared" si="10"/>
        <v>363760.01712328766</v>
      </c>
      <c r="D58" s="186">
        <f t="shared" si="10"/>
        <v>337745.8904109589</v>
      </c>
      <c r="E58" s="186">
        <f t="shared" si="10"/>
        <v>801518.8998287672</v>
      </c>
      <c r="F58" s="186">
        <f t="shared" si="10"/>
        <v>1052806.8921232875</v>
      </c>
      <c r="G58" s="186">
        <f t="shared" si="10"/>
        <v>1023744.3921232877</v>
      </c>
      <c r="H58" s="186">
        <f t="shared" si="10"/>
        <v>994681.8921232877</v>
      </c>
      <c r="I58" s="186">
        <f t="shared" si="10"/>
        <v>965619.3921232877</v>
      </c>
      <c r="J58" s="187">
        <f t="shared" si="10"/>
        <v>569198.8356164383</v>
      </c>
      <c r="K58" s="187">
        <f t="shared" si="10"/>
        <v>0</v>
      </c>
    </row>
    <row r="59" spans="1:6" ht="12.75">
      <c r="A59" s="131"/>
      <c r="B59" s="131"/>
      <c r="C59" s="131"/>
      <c r="D59" s="131"/>
      <c r="E59" s="131"/>
      <c r="F59" s="131"/>
    </row>
  </sheetData>
  <mergeCells count="1">
    <mergeCell ref="J7:K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G22" sqref="G22"/>
    </sheetView>
  </sheetViews>
  <sheetFormatPr defaultColWidth="9.00390625" defaultRowHeight="12.75"/>
  <cols>
    <col min="1" max="1" width="9.00390625" style="0" customWidth="1"/>
    <col min="2" max="2" width="28.00390625" style="0" customWidth="1"/>
    <col min="3" max="3" width="10.125" style="0" customWidth="1"/>
    <col min="4" max="5" width="11.25390625" style="0" customWidth="1"/>
    <col min="6" max="6" width="10.125" style="0" customWidth="1"/>
    <col min="7" max="7" width="9.75390625" style="0" customWidth="1"/>
    <col min="8" max="8" width="11.25390625" style="0" customWidth="1"/>
    <col min="9" max="10" width="11.00390625" style="0" customWidth="1"/>
  </cols>
  <sheetData>
    <row r="1" spans="1:15" ht="12.75">
      <c r="A1" s="119" t="s">
        <v>382</v>
      </c>
      <c r="B1" s="8"/>
      <c r="C1" s="8"/>
      <c r="D1" s="8"/>
      <c r="E1" s="8"/>
      <c r="F1" s="8"/>
      <c r="G1" s="8"/>
      <c r="H1" s="8"/>
      <c r="I1" s="8" t="s">
        <v>383</v>
      </c>
      <c r="J1" s="1"/>
      <c r="K1" s="1"/>
      <c r="L1" s="1"/>
      <c r="M1" s="1"/>
      <c r="N1" s="1"/>
      <c r="O1" s="1"/>
    </row>
    <row r="2" spans="1:15" ht="12.75">
      <c r="A2" s="8"/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</row>
    <row r="4" spans="1:15" s="5" customFormat="1" ht="53.2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  <c r="K4" s="4"/>
      <c r="L4" s="4"/>
      <c r="M4" s="4"/>
      <c r="N4" s="4"/>
      <c r="O4" s="4"/>
    </row>
    <row r="5" spans="1:15" ht="25.5">
      <c r="A5" s="3">
        <v>3020</v>
      </c>
      <c r="B5" s="2" t="s">
        <v>9</v>
      </c>
      <c r="C5" s="110">
        <v>21135.76</v>
      </c>
      <c r="D5" s="110">
        <v>1038.21</v>
      </c>
      <c r="E5" s="111">
        <f aca="true" t="shared" si="0" ref="E5:E23">SUM(C5:D5)</f>
        <v>22173.969999999998</v>
      </c>
      <c r="F5" s="110">
        <v>10287</v>
      </c>
      <c r="G5" s="110">
        <v>17957.4</v>
      </c>
      <c r="H5" s="110">
        <v>1743.13</v>
      </c>
      <c r="I5" s="116">
        <v>21647.89</v>
      </c>
      <c r="J5" s="115">
        <v>26000</v>
      </c>
      <c r="K5" s="1"/>
      <c r="L5" s="1"/>
      <c r="M5" s="1"/>
      <c r="N5" s="1"/>
      <c r="O5" s="1"/>
    </row>
    <row r="6" spans="1:15" ht="12.75">
      <c r="A6" s="3">
        <v>3240</v>
      </c>
      <c r="B6" s="2" t="s">
        <v>352</v>
      </c>
      <c r="C6" s="110"/>
      <c r="D6" s="110"/>
      <c r="E6" s="111"/>
      <c r="F6" s="110">
        <v>300</v>
      </c>
      <c r="G6" s="110">
        <v>300</v>
      </c>
      <c r="H6" s="110">
        <v>0</v>
      </c>
      <c r="I6" s="7">
        <v>300</v>
      </c>
      <c r="J6" s="115">
        <v>300</v>
      </c>
      <c r="K6" s="1"/>
      <c r="L6" s="1"/>
      <c r="M6" s="1"/>
      <c r="N6" s="1"/>
      <c r="O6" s="1"/>
    </row>
    <row r="7" spans="1:15" ht="24" customHeight="1">
      <c r="A7" s="3">
        <v>4010</v>
      </c>
      <c r="B7" s="2" t="s">
        <v>10</v>
      </c>
      <c r="C7" s="110">
        <v>269047.5</v>
      </c>
      <c r="D7" s="110">
        <v>65730.07</v>
      </c>
      <c r="E7" s="111">
        <f t="shared" si="0"/>
        <v>334777.57</v>
      </c>
      <c r="F7" s="110">
        <v>285050</v>
      </c>
      <c r="G7" s="110">
        <v>202409.83</v>
      </c>
      <c r="H7" s="110">
        <v>71818.52</v>
      </c>
      <c r="I7" s="116">
        <v>243940.99</v>
      </c>
      <c r="J7" s="115">
        <v>375000</v>
      </c>
      <c r="K7" s="1"/>
      <c r="L7" s="1"/>
      <c r="M7" s="1"/>
      <c r="N7" s="1"/>
      <c r="O7" s="1"/>
    </row>
    <row r="8" spans="1:15" ht="16.5" customHeight="1">
      <c r="A8" s="3">
        <v>4040</v>
      </c>
      <c r="B8" s="2" t="s">
        <v>11</v>
      </c>
      <c r="C8" s="110">
        <v>23074.67</v>
      </c>
      <c r="D8" s="110">
        <v>25812.6</v>
      </c>
      <c r="E8" s="111">
        <f t="shared" si="0"/>
        <v>48887.27</v>
      </c>
      <c r="F8" s="110">
        <v>26000</v>
      </c>
      <c r="G8" s="110">
        <v>20719.57</v>
      </c>
      <c r="H8" s="110">
        <v>5093.03</v>
      </c>
      <c r="I8" s="116">
        <v>20719.57</v>
      </c>
      <c r="J8" s="115">
        <v>31000</v>
      </c>
      <c r="K8" s="1"/>
      <c r="L8" s="1"/>
      <c r="M8" s="1"/>
      <c r="N8" s="1"/>
      <c r="O8" s="1"/>
    </row>
    <row r="9" spans="1:15" ht="18" customHeight="1">
      <c r="A9" s="3">
        <v>4110</v>
      </c>
      <c r="B9" s="2" t="s">
        <v>12</v>
      </c>
      <c r="C9" s="110">
        <v>57225.91</v>
      </c>
      <c r="D9" s="110">
        <v>58640.01</v>
      </c>
      <c r="E9" s="111">
        <f t="shared" si="0"/>
        <v>115865.92000000001</v>
      </c>
      <c r="F9" s="110">
        <v>73700</v>
      </c>
      <c r="G9" s="110">
        <v>41137.55</v>
      </c>
      <c r="H9" s="110">
        <v>58365.97</v>
      </c>
      <c r="I9" s="116">
        <v>49265.95</v>
      </c>
      <c r="J9" s="115">
        <v>125000</v>
      </c>
      <c r="K9" s="1"/>
      <c r="L9" s="1"/>
      <c r="M9" s="1"/>
      <c r="N9" s="1"/>
      <c r="O9" s="1"/>
    </row>
    <row r="10" spans="1:15" ht="15" customHeight="1">
      <c r="A10" s="3">
        <v>4120</v>
      </c>
      <c r="B10" s="2" t="s">
        <v>13</v>
      </c>
      <c r="C10" s="110">
        <v>7786.74</v>
      </c>
      <c r="D10" s="110">
        <v>8909.25</v>
      </c>
      <c r="E10" s="111">
        <f t="shared" si="0"/>
        <v>16695.989999999998</v>
      </c>
      <c r="F10" s="110">
        <v>11180</v>
      </c>
      <c r="G10" s="110">
        <v>5493.06</v>
      </c>
      <c r="H10" s="110">
        <v>8981.12</v>
      </c>
      <c r="I10" s="116">
        <v>6600.45</v>
      </c>
      <c r="J10" s="115">
        <v>18000</v>
      </c>
      <c r="K10" s="1"/>
      <c r="L10" s="1"/>
      <c r="M10" s="1"/>
      <c r="N10" s="1"/>
      <c r="O10" s="1"/>
    </row>
    <row r="11" spans="1:15" ht="12.75">
      <c r="A11" s="3">
        <v>4210</v>
      </c>
      <c r="B11" s="2" t="s">
        <v>14</v>
      </c>
      <c r="C11" s="110">
        <v>4540.81</v>
      </c>
      <c r="D11" s="110">
        <v>801.34</v>
      </c>
      <c r="E11" s="111">
        <f t="shared" si="0"/>
        <v>5342.150000000001</v>
      </c>
      <c r="F11" s="110">
        <v>2100</v>
      </c>
      <c r="G11" s="110">
        <v>3144.34</v>
      </c>
      <c r="H11" s="110">
        <v>6563.47</v>
      </c>
      <c r="I11" s="116">
        <v>3300</v>
      </c>
      <c r="J11" s="115">
        <v>11000</v>
      </c>
      <c r="K11" s="1"/>
      <c r="L11" s="1"/>
      <c r="M11" s="1"/>
      <c r="N11" s="1"/>
      <c r="O11" s="1"/>
    </row>
    <row r="12" spans="1:15" ht="25.5">
      <c r="A12" s="3">
        <v>4240</v>
      </c>
      <c r="B12" s="2" t="s">
        <v>15</v>
      </c>
      <c r="C12" s="110">
        <v>249</v>
      </c>
      <c r="D12" s="110"/>
      <c r="E12" s="111">
        <f t="shared" si="0"/>
        <v>249</v>
      </c>
      <c r="F12" s="110">
        <v>992</v>
      </c>
      <c r="G12" s="110">
        <v>1307.25</v>
      </c>
      <c r="H12" s="110">
        <v>0</v>
      </c>
      <c r="I12" s="116">
        <v>1400</v>
      </c>
      <c r="J12" s="115">
        <v>1500</v>
      </c>
      <c r="K12" s="1"/>
      <c r="L12" s="1"/>
      <c r="M12" s="1"/>
      <c r="N12" s="1"/>
      <c r="O12" s="1"/>
    </row>
    <row r="13" spans="1:15" ht="12.75">
      <c r="A13" s="3">
        <v>4260</v>
      </c>
      <c r="B13" s="2" t="s">
        <v>16</v>
      </c>
      <c r="C13" s="110">
        <v>26597.31</v>
      </c>
      <c r="D13" s="110">
        <v>6552.86</v>
      </c>
      <c r="E13" s="111">
        <f t="shared" si="0"/>
        <v>33150.17</v>
      </c>
      <c r="F13" s="110">
        <v>21300</v>
      </c>
      <c r="G13" s="110">
        <v>22814.45</v>
      </c>
      <c r="H13" s="110">
        <v>510.74</v>
      </c>
      <c r="I13" s="116">
        <v>24500</v>
      </c>
      <c r="J13" s="115">
        <v>30000</v>
      </c>
      <c r="K13" s="1"/>
      <c r="L13" s="1"/>
      <c r="M13" s="1"/>
      <c r="N13" s="1"/>
      <c r="O13" s="1"/>
    </row>
    <row r="14" spans="1:15" ht="12.75">
      <c r="A14" s="3">
        <v>4270</v>
      </c>
      <c r="B14" s="2" t="s">
        <v>17</v>
      </c>
      <c r="C14" s="110"/>
      <c r="D14" s="110"/>
      <c r="E14" s="111">
        <f t="shared" si="0"/>
        <v>0</v>
      </c>
      <c r="F14" s="110">
        <v>0</v>
      </c>
      <c r="G14" s="110">
        <v>0</v>
      </c>
      <c r="H14" s="110">
        <v>0</v>
      </c>
      <c r="I14" s="7">
        <v>0</v>
      </c>
      <c r="J14" s="3">
        <v>700</v>
      </c>
      <c r="K14" s="1"/>
      <c r="L14" s="1"/>
      <c r="M14" s="1"/>
      <c r="N14" s="1"/>
      <c r="O14" s="1"/>
    </row>
    <row r="15" spans="1:15" ht="12.75">
      <c r="A15" s="3">
        <v>4280</v>
      </c>
      <c r="B15" s="2" t="s">
        <v>18</v>
      </c>
      <c r="C15" s="110"/>
      <c r="D15" s="110"/>
      <c r="E15" s="111">
        <f t="shared" si="0"/>
        <v>0</v>
      </c>
      <c r="F15" s="110">
        <v>0</v>
      </c>
      <c r="G15" s="110">
        <v>0</v>
      </c>
      <c r="H15" s="110">
        <v>0</v>
      </c>
      <c r="I15" s="7">
        <v>0</v>
      </c>
      <c r="J15" s="3"/>
      <c r="K15" s="1"/>
      <c r="L15" s="1"/>
      <c r="M15" s="1"/>
      <c r="N15" s="1"/>
      <c r="O15" s="1"/>
    </row>
    <row r="16" spans="1:15" ht="12.75">
      <c r="A16" s="3">
        <v>4300</v>
      </c>
      <c r="B16" s="2" t="s">
        <v>19</v>
      </c>
      <c r="C16" s="110">
        <v>11185.02</v>
      </c>
      <c r="D16" s="110">
        <v>1056.56</v>
      </c>
      <c r="E16" s="111">
        <f t="shared" si="0"/>
        <v>12241.58</v>
      </c>
      <c r="F16" s="110">
        <v>7500</v>
      </c>
      <c r="G16" s="110">
        <v>9399</v>
      </c>
      <c r="H16" s="110">
        <v>1982.1</v>
      </c>
      <c r="I16" s="116">
        <v>12700</v>
      </c>
      <c r="J16" s="115">
        <v>12000</v>
      </c>
      <c r="K16" s="1"/>
      <c r="L16" s="1"/>
      <c r="M16" s="1"/>
      <c r="N16" s="1"/>
      <c r="O16" s="1"/>
    </row>
    <row r="17" spans="1:15" ht="12.75">
      <c r="A17" s="3">
        <v>4410</v>
      </c>
      <c r="B17" s="2" t="s">
        <v>20</v>
      </c>
      <c r="C17" s="110"/>
      <c r="D17" s="110"/>
      <c r="E17" s="111">
        <f t="shared" si="0"/>
        <v>0</v>
      </c>
      <c r="F17" s="110">
        <v>40</v>
      </c>
      <c r="G17" s="110">
        <v>0</v>
      </c>
      <c r="H17" s="110"/>
      <c r="I17" s="7">
        <v>35</v>
      </c>
      <c r="J17" s="3">
        <v>300</v>
      </c>
      <c r="K17" s="1"/>
      <c r="L17" s="1"/>
      <c r="M17" s="1"/>
      <c r="N17" s="1"/>
      <c r="O17" s="1"/>
    </row>
    <row r="18" spans="1:15" ht="12.75">
      <c r="A18" s="3">
        <v>4430</v>
      </c>
      <c r="B18" s="2" t="s">
        <v>362</v>
      </c>
      <c r="C18" s="110">
        <v>20</v>
      </c>
      <c r="D18" s="110"/>
      <c r="E18" s="111">
        <v>20</v>
      </c>
      <c r="F18" s="110">
        <v>468</v>
      </c>
      <c r="G18" s="110">
        <v>468</v>
      </c>
      <c r="H18" s="110">
        <v>0</v>
      </c>
      <c r="I18" s="7">
        <v>468</v>
      </c>
      <c r="J18" s="3">
        <v>290</v>
      </c>
      <c r="K18" s="1"/>
      <c r="L18" s="1"/>
      <c r="M18" s="1"/>
      <c r="N18" s="1"/>
      <c r="O18" s="1"/>
    </row>
    <row r="19" spans="1:15" ht="18.75" customHeight="1">
      <c r="A19" s="3">
        <v>4580</v>
      </c>
      <c r="B19" s="2" t="s">
        <v>354</v>
      </c>
      <c r="C19" s="110">
        <v>5219.03</v>
      </c>
      <c r="D19" s="110">
        <v>1.74</v>
      </c>
      <c r="E19" s="111">
        <v>5220.77</v>
      </c>
      <c r="F19" s="110">
        <v>0</v>
      </c>
      <c r="G19" s="110">
        <v>2695.2</v>
      </c>
      <c r="H19" s="110">
        <v>0</v>
      </c>
      <c r="I19" s="116">
        <v>2763.62</v>
      </c>
      <c r="J19" s="3">
        <v>0</v>
      </c>
      <c r="K19" s="1"/>
      <c r="L19" s="1"/>
      <c r="M19" s="1"/>
      <c r="N19" s="1"/>
      <c r="O19" s="1"/>
    </row>
    <row r="20" spans="1:15" ht="12.75">
      <c r="A20" s="3">
        <v>4610</v>
      </c>
      <c r="B20" s="2" t="s">
        <v>355</v>
      </c>
      <c r="C20" s="110"/>
      <c r="D20" s="110"/>
      <c r="E20" s="111"/>
      <c r="F20" s="110">
        <v>0</v>
      </c>
      <c r="G20" s="110">
        <v>2434.9</v>
      </c>
      <c r="H20" s="110">
        <v>0</v>
      </c>
      <c r="I20" s="116">
        <v>2637.9</v>
      </c>
      <c r="J20" s="3">
        <v>0</v>
      </c>
      <c r="K20" s="1"/>
      <c r="L20" s="1"/>
      <c r="M20" s="1"/>
      <c r="N20" s="1"/>
      <c r="O20" s="1"/>
    </row>
    <row r="21" spans="1:15" ht="25.5">
      <c r="A21" s="3">
        <v>4440</v>
      </c>
      <c r="B21" s="2" t="s">
        <v>21</v>
      </c>
      <c r="C21" s="110">
        <v>28253</v>
      </c>
      <c r="D21" s="110"/>
      <c r="E21" s="111">
        <f t="shared" si="0"/>
        <v>28253</v>
      </c>
      <c r="F21" s="110">
        <v>0</v>
      </c>
      <c r="G21" s="110">
        <v>0</v>
      </c>
      <c r="H21" s="110">
        <v>20408</v>
      </c>
      <c r="I21" s="7">
        <v>0</v>
      </c>
      <c r="J21" s="115">
        <v>35610</v>
      </c>
      <c r="K21" s="1"/>
      <c r="L21" s="1"/>
      <c r="M21" s="1"/>
      <c r="N21" s="1"/>
      <c r="O21" s="1"/>
    </row>
    <row r="22" spans="1:15" ht="25.5">
      <c r="A22" s="3">
        <v>6050</v>
      </c>
      <c r="B22" s="2" t="s">
        <v>23</v>
      </c>
      <c r="C22" s="110"/>
      <c r="D22" s="110"/>
      <c r="E22" s="111">
        <f t="shared" si="0"/>
        <v>0</v>
      </c>
      <c r="F22" s="110"/>
      <c r="G22" s="110"/>
      <c r="H22" s="110"/>
      <c r="I22" s="7"/>
      <c r="J22" s="3"/>
      <c r="K22" s="1"/>
      <c r="L22" s="1"/>
      <c r="M22" s="1"/>
      <c r="N22" s="1"/>
      <c r="O22" s="1"/>
    </row>
    <row r="23" spans="1:15" ht="25.5">
      <c r="A23" s="3">
        <v>6060</v>
      </c>
      <c r="B23" s="2" t="s">
        <v>22</v>
      </c>
      <c r="C23" s="110"/>
      <c r="D23" s="110"/>
      <c r="E23" s="111">
        <f t="shared" si="0"/>
        <v>0</v>
      </c>
      <c r="F23" s="110"/>
      <c r="G23" s="110"/>
      <c r="H23" s="110"/>
      <c r="I23" s="7"/>
      <c r="J23" s="110"/>
      <c r="K23" s="1"/>
      <c r="L23" s="1"/>
      <c r="M23" s="1"/>
      <c r="N23" s="1"/>
      <c r="O23" s="1"/>
    </row>
    <row r="24" spans="1:15" ht="12.75">
      <c r="A24" s="196" t="s">
        <v>34</v>
      </c>
      <c r="B24" s="197"/>
      <c r="C24" s="112">
        <f aca="true" t="shared" si="1" ref="C24:J24">SUM(C5:C23)</f>
        <v>454334.75</v>
      </c>
      <c r="D24" s="112">
        <f t="shared" si="1"/>
        <v>168542.63999999998</v>
      </c>
      <c r="E24" s="112">
        <f t="shared" si="1"/>
        <v>622877.39</v>
      </c>
      <c r="F24" s="112">
        <f t="shared" si="1"/>
        <v>438917</v>
      </c>
      <c r="G24" s="112">
        <f t="shared" si="1"/>
        <v>330280.55000000005</v>
      </c>
      <c r="H24" s="112">
        <f t="shared" si="1"/>
        <v>175466.08000000002</v>
      </c>
      <c r="I24" s="112">
        <f t="shared" si="1"/>
        <v>390279.37000000005</v>
      </c>
      <c r="J24" s="112">
        <f t="shared" si="1"/>
        <v>666700</v>
      </c>
      <c r="K24" s="1"/>
      <c r="L24" s="1"/>
      <c r="M24" s="1"/>
      <c r="N24" s="1"/>
      <c r="O24" s="1"/>
    </row>
    <row r="25" spans="1:15" ht="12.75">
      <c r="A25" s="224"/>
      <c r="B25" s="225"/>
      <c r="C25" s="225"/>
      <c r="D25" s="225"/>
      <c r="E25" s="225"/>
      <c r="F25" s="225"/>
      <c r="G25" s="225"/>
      <c r="H25" s="225"/>
      <c r="I25" s="225"/>
      <c r="J25" s="226"/>
      <c r="K25" s="1"/>
      <c r="L25" s="1"/>
      <c r="M25" s="1"/>
      <c r="N25" s="1"/>
      <c r="O25" s="1"/>
    </row>
    <row r="26" spans="1:15" ht="12.75">
      <c r="A26" s="227" t="s">
        <v>26</v>
      </c>
      <c r="B26" s="228"/>
      <c r="C26" s="229">
        <v>119</v>
      </c>
      <c r="D26" s="230"/>
      <c r="E26" s="230"/>
      <c r="F26" s="230"/>
      <c r="G26" s="230"/>
      <c r="H26" s="230"/>
      <c r="I26" s="230"/>
      <c r="J26" s="231"/>
      <c r="K26" s="1"/>
      <c r="L26" s="1"/>
      <c r="M26" s="1"/>
      <c r="N26" s="1"/>
      <c r="O26" s="1"/>
    </row>
    <row r="27" spans="1:15" ht="12.75">
      <c r="A27" s="227" t="s">
        <v>27</v>
      </c>
      <c r="B27" s="228"/>
      <c r="C27" s="232">
        <v>115</v>
      </c>
      <c r="D27" s="233"/>
      <c r="E27" s="233"/>
      <c r="F27" s="233"/>
      <c r="G27" s="233"/>
      <c r="H27" s="233"/>
      <c r="I27" s="233"/>
      <c r="J27" s="234"/>
      <c r="K27" s="1"/>
      <c r="L27" s="1"/>
      <c r="M27" s="1"/>
      <c r="N27" s="1"/>
      <c r="O27" s="1"/>
    </row>
    <row r="28" spans="1:15" ht="12.75">
      <c r="A28" s="227" t="s">
        <v>28</v>
      </c>
      <c r="B28" s="228"/>
      <c r="C28" s="224">
        <v>4235.15</v>
      </c>
      <c r="D28" s="225"/>
      <c r="E28" s="225"/>
      <c r="F28" s="225"/>
      <c r="G28" s="225"/>
      <c r="H28" s="225"/>
      <c r="I28" s="225"/>
      <c r="J28" s="226"/>
      <c r="K28" s="1"/>
      <c r="L28" s="1"/>
      <c r="M28" s="1"/>
      <c r="N28" s="1"/>
      <c r="O28" s="1"/>
    </row>
    <row r="29" spans="1:15" ht="12.75">
      <c r="A29" s="227" t="s">
        <v>29</v>
      </c>
      <c r="B29" s="228"/>
      <c r="C29" s="224">
        <v>4106.85</v>
      </c>
      <c r="D29" s="225"/>
      <c r="E29" s="225"/>
      <c r="F29" s="225"/>
      <c r="G29" s="225"/>
      <c r="H29" s="225"/>
      <c r="I29" s="225"/>
      <c r="J29" s="226"/>
      <c r="K29" s="1"/>
      <c r="L29" s="1"/>
      <c r="M29" s="1"/>
      <c r="N29" s="1"/>
      <c r="O29" s="1"/>
    </row>
    <row r="30" spans="1:15" ht="12.75">
      <c r="A30" s="227" t="str">
        <f>'[1]SP NR 1'!A30:B30</f>
        <v>koszt utrzymania 1 ucznia w 2004</v>
      </c>
      <c r="B30" s="235"/>
      <c r="C30" s="201">
        <f>(G24+I24+H24)/C27</f>
        <v>7791.53043478261</v>
      </c>
      <c r="D30" s="202"/>
      <c r="E30" s="202"/>
      <c r="F30" s="202"/>
      <c r="G30" s="202"/>
      <c r="H30" s="202"/>
      <c r="I30" s="202"/>
      <c r="J30" s="203"/>
      <c r="K30" s="1"/>
      <c r="L30" s="1"/>
      <c r="M30" s="1"/>
      <c r="N30" s="1"/>
      <c r="O30" s="1"/>
    </row>
    <row r="31" spans="1:10" ht="12.75">
      <c r="A31" s="227" t="str">
        <f>'[1]SP NR 1'!A31:B31</f>
        <v>koszt utrzymania 1 ucznia w 2005</v>
      </c>
      <c r="B31" s="235"/>
      <c r="C31" s="224">
        <f>J24/C37</f>
        <v>5797.391304347826</v>
      </c>
      <c r="D31" s="222"/>
      <c r="E31" s="222"/>
      <c r="F31" s="222"/>
      <c r="G31" s="222"/>
      <c r="H31" s="222"/>
      <c r="I31" s="222"/>
      <c r="J31" s="223"/>
    </row>
    <row r="32" spans="1:10" ht="12.75">
      <c r="A32" s="227" t="s">
        <v>30</v>
      </c>
      <c r="B32" s="228"/>
      <c r="C32" s="224">
        <v>499747.7</v>
      </c>
      <c r="D32" s="225"/>
      <c r="E32" s="225"/>
      <c r="F32" s="225"/>
      <c r="G32" s="225"/>
      <c r="H32" s="225"/>
      <c r="I32" s="225"/>
      <c r="J32" s="226"/>
    </row>
    <row r="33" spans="1:10" ht="12.75">
      <c r="A33" s="227" t="s">
        <v>31</v>
      </c>
      <c r="B33" s="228"/>
      <c r="C33" s="224">
        <v>472287.75</v>
      </c>
      <c r="D33" s="225"/>
      <c r="E33" s="225"/>
      <c r="F33" s="225"/>
      <c r="G33" s="225"/>
      <c r="H33" s="225"/>
      <c r="I33" s="225"/>
      <c r="J33" s="226"/>
    </row>
    <row r="34" spans="1:10" ht="12.75">
      <c r="A34" s="227" t="s">
        <v>32</v>
      </c>
      <c r="B34" s="228"/>
      <c r="C34" s="224">
        <v>102980.96</v>
      </c>
      <c r="D34" s="225"/>
      <c r="E34" s="225"/>
      <c r="F34" s="225"/>
      <c r="G34" s="225"/>
      <c r="H34" s="225"/>
      <c r="I34" s="225"/>
      <c r="J34" s="226"/>
    </row>
    <row r="35" spans="1:10" ht="12.75">
      <c r="A35" s="227" t="s">
        <v>33</v>
      </c>
      <c r="B35" s="228"/>
      <c r="C35" s="201">
        <f>J24-C33</f>
        <v>194412.25</v>
      </c>
      <c r="D35" s="204"/>
      <c r="E35" s="204"/>
      <c r="F35" s="204"/>
      <c r="G35" s="204"/>
      <c r="H35" s="204"/>
      <c r="I35" s="204"/>
      <c r="J35" s="205"/>
    </row>
    <row r="36" spans="1:10" ht="12.75">
      <c r="A36" s="236" t="s">
        <v>358</v>
      </c>
      <c r="B36" s="236"/>
      <c r="C36" s="237">
        <v>118</v>
      </c>
      <c r="D36" s="237"/>
      <c r="E36" s="237"/>
      <c r="F36" s="237"/>
      <c r="G36" s="237"/>
      <c r="H36" s="237"/>
      <c r="I36" s="237"/>
      <c r="J36" s="237"/>
    </row>
    <row r="37" spans="1:10" ht="12.75">
      <c r="A37" s="238" t="s">
        <v>359</v>
      </c>
      <c r="B37" s="239"/>
      <c r="C37" s="237">
        <v>115</v>
      </c>
      <c r="D37" s="237"/>
      <c r="E37" s="237"/>
      <c r="F37" s="237"/>
      <c r="G37" s="237"/>
      <c r="H37" s="237"/>
      <c r="I37" s="237"/>
      <c r="J37" s="237"/>
    </row>
  </sheetData>
  <mergeCells count="26">
    <mergeCell ref="A36:B36"/>
    <mergeCell ref="C36:J36"/>
    <mergeCell ref="A37:B37"/>
    <mergeCell ref="C37:J37"/>
    <mergeCell ref="A34:B34"/>
    <mergeCell ref="C34:J34"/>
    <mergeCell ref="A35:B35"/>
    <mergeCell ref="C35:J35"/>
    <mergeCell ref="A32:B32"/>
    <mergeCell ref="C32:J32"/>
    <mergeCell ref="A33:B33"/>
    <mergeCell ref="C33:J33"/>
    <mergeCell ref="A30:B30"/>
    <mergeCell ref="C30:J30"/>
    <mergeCell ref="A31:B31"/>
    <mergeCell ref="C31:J31"/>
    <mergeCell ref="A24:B24"/>
    <mergeCell ref="A25:J25"/>
    <mergeCell ref="A28:B28"/>
    <mergeCell ref="A29:B29"/>
    <mergeCell ref="C28:J28"/>
    <mergeCell ref="C29:J29"/>
    <mergeCell ref="A26:B26"/>
    <mergeCell ref="A27:B27"/>
    <mergeCell ref="C26:J26"/>
    <mergeCell ref="C27:J2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J5" sqref="J5:J23"/>
    </sheetView>
  </sheetViews>
  <sheetFormatPr defaultColWidth="9.00390625" defaultRowHeight="12.75"/>
  <cols>
    <col min="1" max="1" width="9.00390625" style="0" customWidth="1"/>
    <col min="2" max="2" width="28.00390625" style="0" customWidth="1"/>
    <col min="3" max="3" width="10.125" style="0" customWidth="1"/>
    <col min="4" max="5" width="11.25390625" style="0" customWidth="1"/>
    <col min="6" max="6" width="10.375" style="0" customWidth="1"/>
    <col min="7" max="7" width="9.75390625" style="0" customWidth="1"/>
    <col min="8" max="8" width="11.25390625" style="0" customWidth="1"/>
    <col min="9" max="10" width="11.00390625" style="0" customWidth="1"/>
  </cols>
  <sheetData>
    <row r="1" spans="1:15" ht="12.75">
      <c r="A1" s="119" t="s">
        <v>384</v>
      </c>
      <c r="B1" s="8"/>
      <c r="C1" s="8"/>
      <c r="D1" s="8"/>
      <c r="E1" s="8"/>
      <c r="F1" s="8"/>
      <c r="G1" s="8"/>
      <c r="H1" s="8"/>
      <c r="I1" s="8" t="s">
        <v>385</v>
      </c>
      <c r="J1" s="1"/>
      <c r="K1" s="1"/>
      <c r="L1" s="1"/>
      <c r="M1" s="1"/>
      <c r="N1" s="1"/>
      <c r="O1" s="1"/>
    </row>
    <row r="2" spans="1:15" ht="12.75">
      <c r="A2" s="8"/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</row>
    <row r="4" spans="1:15" s="5" customFormat="1" ht="53.2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  <c r="K4" s="4"/>
      <c r="L4" s="4"/>
      <c r="M4" s="4"/>
      <c r="N4" s="4"/>
      <c r="O4" s="4"/>
    </row>
    <row r="5" spans="1:15" ht="25.5">
      <c r="A5" s="3">
        <v>3020</v>
      </c>
      <c r="B5" s="2" t="s">
        <v>9</v>
      </c>
      <c r="C5" s="110">
        <v>20536.99</v>
      </c>
      <c r="D5" s="110">
        <v>909.36</v>
      </c>
      <c r="E5" s="111">
        <f aca="true" t="shared" si="0" ref="E5:E23">SUM(C5:D5)</f>
        <v>21446.350000000002</v>
      </c>
      <c r="F5" s="110">
        <v>8740</v>
      </c>
      <c r="G5" s="110">
        <v>16808.68</v>
      </c>
      <c r="H5" s="110">
        <v>1742.04</v>
      </c>
      <c r="I5" s="116">
        <v>20091.72</v>
      </c>
      <c r="J5" s="115">
        <v>23000</v>
      </c>
      <c r="K5" s="1"/>
      <c r="L5" s="1"/>
      <c r="M5" s="1"/>
      <c r="N5" s="1"/>
      <c r="O5" s="1"/>
    </row>
    <row r="6" spans="1:15" ht="16.5" customHeight="1">
      <c r="A6" s="3">
        <v>3240</v>
      </c>
      <c r="B6" s="2" t="s">
        <v>352</v>
      </c>
      <c r="C6" s="110"/>
      <c r="D6" s="110"/>
      <c r="E6" s="111"/>
      <c r="F6" s="110">
        <v>200</v>
      </c>
      <c r="G6" s="110">
        <v>0</v>
      </c>
      <c r="H6" s="110">
        <v>0</v>
      </c>
      <c r="I6" s="7">
        <v>0</v>
      </c>
      <c r="J6" s="115">
        <v>300</v>
      </c>
      <c r="K6" s="1"/>
      <c r="L6" s="1"/>
      <c r="M6" s="1"/>
      <c r="N6" s="1"/>
      <c r="O6" s="1"/>
    </row>
    <row r="7" spans="1:15" ht="25.5">
      <c r="A7" s="3">
        <v>4010</v>
      </c>
      <c r="B7" s="2" t="s">
        <v>10</v>
      </c>
      <c r="C7" s="110">
        <v>262348.34</v>
      </c>
      <c r="D7" s="110">
        <v>65245.59</v>
      </c>
      <c r="E7" s="111">
        <f t="shared" si="0"/>
        <v>327593.93000000005</v>
      </c>
      <c r="F7" s="110">
        <v>259335</v>
      </c>
      <c r="G7" s="110">
        <v>180894.7</v>
      </c>
      <c r="H7" s="110" t="s">
        <v>363</v>
      </c>
      <c r="I7" s="7">
        <v>218720.14</v>
      </c>
      <c r="J7" s="115">
        <v>315000</v>
      </c>
      <c r="K7" s="1"/>
      <c r="L7" s="1"/>
      <c r="M7" s="1"/>
      <c r="N7" s="1"/>
      <c r="O7" s="1"/>
    </row>
    <row r="8" spans="1:15" ht="16.5" customHeight="1">
      <c r="A8" s="3">
        <v>4040</v>
      </c>
      <c r="B8" s="2" t="s">
        <v>11</v>
      </c>
      <c r="C8" s="110">
        <v>20967.98</v>
      </c>
      <c r="D8" s="110">
        <v>23952.38</v>
      </c>
      <c r="E8" s="111">
        <f t="shared" si="0"/>
        <v>44920.36</v>
      </c>
      <c r="F8" s="110">
        <v>24700</v>
      </c>
      <c r="G8" s="110">
        <v>18838.41</v>
      </c>
      <c r="H8" s="110">
        <v>5113.97</v>
      </c>
      <c r="I8" s="116">
        <v>18838.41</v>
      </c>
      <c r="J8" s="115">
        <v>28000</v>
      </c>
      <c r="K8" s="1"/>
      <c r="L8" s="1"/>
      <c r="M8" s="1"/>
      <c r="N8" s="1"/>
      <c r="O8" s="1"/>
    </row>
    <row r="9" spans="1:15" ht="15" customHeight="1">
      <c r="A9" s="3">
        <v>4110</v>
      </c>
      <c r="B9" s="2" t="s">
        <v>12</v>
      </c>
      <c r="C9" s="110">
        <v>52987.84</v>
      </c>
      <c r="D9" s="110">
        <v>53887.27</v>
      </c>
      <c r="E9" s="111">
        <f t="shared" si="0"/>
        <v>106875.10999999999</v>
      </c>
      <c r="F9" s="110">
        <v>71727</v>
      </c>
      <c r="G9" s="110">
        <v>37440.69</v>
      </c>
      <c r="H9" s="110">
        <v>51635</v>
      </c>
      <c r="I9" s="116">
        <v>44834.72</v>
      </c>
      <c r="J9" s="115">
        <v>109000</v>
      </c>
      <c r="K9" s="1"/>
      <c r="L9" s="1"/>
      <c r="M9" s="1"/>
      <c r="N9" s="1"/>
      <c r="O9" s="1"/>
    </row>
    <row r="10" spans="1:15" ht="15" customHeight="1">
      <c r="A10" s="3">
        <v>4120</v>
      </c>
      <c r="B10" s="2" t="s">
        <v>13</v>
      </c>
      <c r="C10" s="110">
        <v>7598.26</v>
      </c>
      <c r="D10" s="110">
        <v>8962.33</v>
      </c>
      <c r="E10" s="111">
        <f t="shared" si="0"/>
        <v>16560.59</v>
      </c>
      <c r="F10" s="110">
        <v>10300</v>
      </c>
      <c r="G10" s="110">
        <v>4964.68</v>
      </c>
      <c r="H10" s="110">
        <v>8913.42</v>
      </c>
      <c r="I10" s="116">
        <v>5971.66</v>
      </c>
      <c r="J10" s="115">
        <v>17000</v>
      </c>
      <c r="K10" s="1"/>
      <c r="L10" s="1"/>
      <c r="M10" s="1"/>
      <c r="N10" s="1"/>
      <c r="O10" s="1"/>
    </row>
    <row r="11" spans="1:15" ht="12.75">
      <c r="A11" s="3">
        <v>4210</v>
      </c>
      <c r="B11" s="2" t="s">
        <v>14</v>
      </c>
      <c r="C11" s="110">
        <v>2928.05</v>
      </c>
      <c r="D11" s="110">
        <v>1713.03</v>
      </c>
      <c r="E11" s="111">
        <f t="shared" si="0"/>
        <v>4641.08</v>
      </c>
      <c r="F11" s="110">
        <v>16850</v>
      </c>
      <c r="G11" s="110">
        <v>16932.03</v>
      </c>
      <c r="H11" s="110" t="s">
        <v>364</v>
      </c>
      <c r="I11" s="116">
        <v>17000</v>
      </c>
      <c r="J11" s="115">
        <v>6000</v>
      </c>
      <c r="K11" s="1"/>
      <c r="L11" s="1"/>
      <c r="M11" s="1"/>
      <c r="N11" s="1"/>
      <c r="O11" s="1"/>
    </row>
    <row r="12" spans="1:15" ht="25.5">
      <c r="A12" s="3">
        <v>4240</v>
      </c>
      <c r="B12" s="2" t="s">
        <v>15</v>
      </c>
      <c r="C12" s="110">
        <v>555.62</v>
      </c>
      <c r="D12" s="110"/>
      <c r="E12" s="111">
        <f t="shared" si="0"/>
        <v>555.62</v>
      </c>
      <c r="F12" s="110">
        <v>275</v>
      </c>
      <c r="G12" s="110">
        <v>474.72</v>
      </c>
      <c r="H12" s="110">
        <v>773.61</v>
      </c>
      <c r="I12" s="116">
        <v>1250</v>
      </c>
      <c r="J12" s="115">
        <v>1200</v>
      </c>
      <c r="K12" s="1"/>
      <c r="L12" s="1"/>
      <c r="M12" s="1"/>
      <c r="N12" s="1"/>
      <c r="O12" s="1"/>
    </row>
    <row r="13" spans="1:15" ht="12.75">
      <c r="A13" s="3">
        <v>4260</v>
      </c>
      <c r="B13" s="2" t="s">
        <v>16</v>
      </c>
      <c r="C13" s="110">
        <v>20275.66</v>
      </c>
      <c r="D13" s="110">
        <v>5337.6</v>
      </c>
      <c r="E13" s="111">
        <f t="shared" si="0"/>
        <v>25613.260000000002</v>
      </c>
      <c r="F13" s="110">
        <v>17400</v>
      </c>
      <c r="G13" s="110">
        <v>17602.72</v>
      </c>
      <c r="H13" s="110">
        <v>1334.75</v>
      </c>
      <c r="I13" s="116">
        <v>19100</v>
      </c>
      <c r="J13" s="115">
        <v>30000</v>
      </c>
      <c r="K13" s="1"/>
      <c r="L13" s="1"/>
      <c r="M13" s="1"/>
      <c r="N13" s="1"/>
      <c r="O13" s="1"/>
    </row>
    <row r="14" spans="1:15" ht="12.75">
      <c r="A14" s="3">
        <v>4270</v>
      </c>
      <c r="B14" s="2" t="s">
        <v>17</v>
      </c>
      <c r="C14" s="110"/>
      <c r="D14" s="110"/>
      <c r="E14" s="111">
        <f t="shared" si="0"/>
        <v>0</v>
      </c>
      <c r="F14" s="110">
        <v>0</v>
      </c>
      <c r="G14" s="110">
        <v>0</v>
      </c>
      <c r="H14" s="110">
        <v>0</v>
      </c>
      <c r="I14" s="7">
        <v>0</v>
      </c>
      <c r="J14" s="3">
        <v>1000</v>
      </c>
      <c r="K14" s="1"/>
      <c r="L14" s="1"/>
      <c r="M14" s="1"/>
      <c r="N14" s="1"/>
      <c r="O14" s="1"/>
    </row>
    <row r="15" spans="1:15" ht="12.75">
      <c r="A15" s="3">
        <v>4280</v>
      </c>
      <c r="B15" s="2" t="s">
        <v>18</v>
      </c>
      <c r="C15" s="110"/>
      <c r="D15" s="110"/>
      <c r="E15" s="111">
        <f t="shared" si="0"/>
        <v>0</v>
      </c>
      <c r="F15" s="110">
        <v>0</v>
      </c>
      <c r="G15" s="110">
        <v>0</v>
      </c>
      <c r="H15" s="110">
        <v>0</v>
      </c>
      <c r="I15" s="7">
        <v>0</v>
      </c>
      <c r="J15" s="3"/>
      <c r="K15" s="1"/>
      <c r="L15" s="1"/>
      <c r="M15" s="1"/>
      <c r="N15" s="1"/>
      <c r="O15" s="1"/>
    </row>
    <row r="16" spans="1:15" ht="12.75">
      <c r="A16" s="3">
        <v>4300</v>
      </c>
      <c r="B16" s="2" t="s">
        <v>19</v>
      </c>
      <c r="C16" s="110">
        <v>7622.7</v>
      </c>
      <c r="D16" s="110">
        <v>130.84</v>
      </c>
      <c r="E16" s="111">
        <f t="shared" si="0"/>
        <v>7753.54</v>
      </c>
      <c r="F16" s="110">
        <v>11500</v>
      </c>
      <c r="G16" s="110">
        <v>10964.55</v>
      </c>
      <c r="H16" s="110">
        <v>693.52</v>
      </c>
      <c r="I16" s="116">
        <v>12300</v>
      </c>
      <c r="J16" s="115">
        <v>9000</v>
      </c>
      <c r="K16" s="1"/>
      <c r="L16" s="1"/>
      <c r="M16" s="1"/>
      <c r="N16" s="1"/>
      <c r="O16" s="1"/>
    </row>
    <row r="17" spans="1:15" ht="12.75">
      <c r="A17" s="3">
        <v>4410</v>
      </c>
      <c r="B17" s="2" t="s">
        <v>20</v>
      </c>
      <c r="C17" s="110"/>
      <c r="D17" s="110"/>
      <c r="E17" s="111">
        <f t="shared" si="0"/>
        <v>0</v>
      </c>
      <c r="F17" s="110">
        <v>40</v>
      </c>
      <c r="G17" s="110">
        <v>0</v>
      </c>
      <c r="H17" s="110"/>
      <c r="I17" s="7">
        <v>0</v>
      </c>
      <c r="J17" s="3">
        <v>300</v>
      </c>
      <c r="K17" s="1"/>
      <c r="L17" s="1"/>
      <c r="M17" s="1"/>
      <c r="N17" s="1"/>
      <c r="O17" s="1"/>
    </row>
    <row r="18" spans="1:15" ht="12.75">
      <c r="A18" s="3">
        <v>4430</v>
      </c>
      <c r="B18" s="2" t="s">
        <v>362</v>
      </c>
      <c r="C18" s="110">
        <v>20</v>
      </c>
      <c r="D18" s="110"/>
      <c r="E18" s="111">
        <v>20</v>
      </c>
      <c r="F18" s="110">
        <v>0</v>
      </c>
      <c r="G18" s="110">
        <v>0</v>
      </c>
      <c r="H18" s="110">
        <v>0</v>
      </c>
      <c r="I18" s="7">
        <v>485</v>
      </c>
      <c r="J18" s="3">
        <v>290</v>
      </c>
      <c r="K18" s="1"/>
      <c r="L18" s="1"/>
      <c r="M18" s="1"/>
      <c r="N18" s="1"/>
      <c r="O18" s="1"/>
    </row>
    <row r="19" spans="1:15" ht="18" customHeight="1">
      <c r="A19" s="3">
        <v>4580</v>
      </c>
      <c r="B19" s="2" t="s">
        <v>354</v>
      </c>
      <c r="C19" s="110"/>
      <c r="D19" s="110"/>
      <c r="E19" s="111"/>
      <c r="F19" s="110">
        <v>0</v>
      </c>
      <c r="G19" s="110">
        <v>2061.48</v>
      </c>
      <c r="H19" s="110">
        <v>0</v>
      </c>
      <c r="I19" s="116">
        <v>2061.89</v>
      </c>
      <c r="J19" s="3"/>
      <c r="K19" s="1"/>
      <c r="L19" s="1"/>
      <c r="M19" s="1"/>
      <c r="N19" s="1"/>
      <c r="O19" s="1"/>
    </row>
    <row r="20" spans="1:15" ht="12.75">
      <c r="A20" s="3">
        <v>4610</v>
      </c>
      <c r="B20" s="2" t="s">
        <v>355</v>
      </c>
      <c r="C20" s="110"/>
      <c r="D20" s="110"/>
      <c r="E20" s="111"/>
      <c r="F20" s="110">
        <v>0</v>
      </c>
      <c r="G20" s="110">
        <v>2148.7</v>
      </c>
      <c r="H20" s="110">
        <v>2148.7</v>
      </c>
      <c r="I20" s="7">
        <v>0</v>
      </c>
      <c r="J20" s="3">
        <v>0</v>
      </c>
      <c r="K20" s="1"/>
      <c r="L20" s="1"/>
      <c r="M20" s="1"/>
      <c r="N20" s="1"/>
      <c r="O20" s="1"/>
    </row>
    <row r="21" spans="1:15" ht="25.5">
      <c r="A21" s="3">
        <v>4440</v>
      </c>
      <c r="B21" s="2" t="s">
        <v>21</v>
      </c>
      <c r="C21" s="110">
        <v>26663</v>
      </c>
      <c r="D21" s="110"/>
      <c r="E21" s="111">
        <f t="shared" si="0"/>
        <v>26663</v>
      </c>
      <c r="F21" s="110">
        <v>0</v>
      </c>
      <c r="G21" s="110">
        <v>0</v>
      </c>
      <c r="H21" s="110">
        <v>14448</v>
      </c>
      <c r="I21" s="7">
        <v>0</v>
      </c>
      <c r="J21" s="115">
        <v>30610</v>
      </c>
      <c r="K21" s="1"/>
      <c r="L21" s="1"/>
      <c r="M21" s="1"/>
      <c r="N21" s="1"/>
      <c r="O21" s="1"/>
    </row>
    <row r="22" spans="1:15" ht="25.5">
      <c r="A22" s="3">
        <v>6050</v>
      </c>
      <c r="B22" s="2" t="s">
        <v>23</v>
      </c>
      <c r="C22" s="110"/>
      <c r="D22" s="110"/>
      <c r="E22" s="111">
        <f t="shared" si="0"/>
        <v>0</v>
      </c>
      <c r="F22" s="110">
        <v>0</v>
      </c>
      <c r="G22" s="110">
        <v>0</v>
      </c>
      <c r="H22" s="110">
        <v>0</v>
      </c>
      <c r="I22" s="7">
        <v>0</v>
      </c>
      <c r="J22" s="3">
        <v>0</v>
      </c>
      <c r="K22" s="1"/>
      <c r="L22" s="1"/>
      <c r="M22" s="1"/>
      <c r="N22" s="1"/>
      <c r="O22" s="1"/>
    </row>
    <row r="23" spans="1:15" ht="25.5">
      <c r="A23" s="3">
        <v>6060</v>
      </c>
      <c r="B23" s="2" t="s">
        <v>22</v>
      </c>
      <c r="C23" s="110"/>
      <c r="D23" s="110"/>
      <c r="E23" s="111">
        <f t="shared" si="0"/>
        <v>0</v>
      </c>
      <c r="F23" s="110">
        <v>0</v>
      </c>
      <c r="G23" s="110">
        <v>0</v>
      </c>
      <c r="H23" s="110">
        <v>0</v>
      </c>
      <c r="I23" s="7">
        <v>0</v>
      </c>
      <c r="J23" s="3">
        <v>0</v>
      </c>
      <c r="K23" s="1"/>
      <c r="L23" s="1"/>
      <c r="M23" s="1"/>
      <c r="N23" s="1"/>
      <c r="O23" s="1"/>
    </row>
    <row r="24" spans="1:15" ht="12.75">
      <c r="A24" s="196" t="s">
        <v>34</v>
      </c>
      <c r="B24" s="197"/>
      <c r="C24" s="112">
        <f aca="true" t="shared" si="1" ref="C24:J24">SUM(C5:C23)</f>
        <v>422504.44</v>
      </c>
      <c r="D24" s="112">
        <f t="shared" si="1"/>
        <v>160138.4</v>
      </c>
      <c r="E24" s="112">
        <f t="shared" si="1"/>
        <v>582642.8400000001</v>
      </c>
      <c r="F24" s="112">
        <f t="shared" si="1"/>
        <v>421067</v>
      </c>
      <c r="G24" s="112">
        <f t="shared" si="1"/>
        <v>309131.36</v>
      </c>
      <c r="H24" s="112">
        <f t="shared" si="1"/>
        <v>86803.01000000001</v>
      </c>
      <c r="I24" s="112">
        <f t="shared" si="1"/>
        <v>360653.54</v>
      </c>
      <c r="J24" s="112">
        <f t="shared" si="1"/>
        <v>570700</v>
      </c>
      <c r="K24" s="1"/>
      <c r="L24" s="1"/>
      <c r="M24" s="1"/>
      <c r="N24" s="1"/>
      <c r="O24" s="1"/>
    </row>
    <row r="25" spans="1:15" ht="12.75">
      <c r="A25" s="198"/>
      <c r="B25" s="199"/>
      <c r="C25" s="199"/>
      <c r="D25" s="199"/>
      <c r="E25" s="199"/>
      <c r="F25" s="199"/>
      <c r="G25" s="199"/>
      <c r="H25" s="199"/>
      <c r="I25" s="199"/>
      <c r="J25" s="200"/>
      <c r="K25" s="1"/>
      <c r="L25" s="1"/>
      <c r="M25" s="1"/>
      <c r="N25" s="1"/>
      <c r="O25" s="1"/>
    </row>
    <row r="26" spans="1:15" ht="12.75">
      <c r="A26" s="198" t="s">
        <v>26</v>
      </c>
      <c r="B26" s="200"/>
      <c r="C26" s="206">
        <v>65</v>
      </c>
      <c r="D26" s="207"/>
      <c r="E26" s="207"/>
      <c r="F26" s="207"/>
      <c r="G26" s="207"/>
      <c r="H26" s="207"/>
      <c r="I26" s="207"/>
      <c r="J26" s="208"/>
      <c r="K26" s="1"/>
      <c r="L26" s="1"/>
      <c r="M26" s="1"/>
      <c r="N26" s="1"/>
      <c r="O26" s="1"/>
    </row>
    <row r="27" spans="1:15" ht="12.75">
      <c r="A27" s="198" t="s">
        <v>27</v>
      </c>
      <c r="B27" s="200"/>
      <c r="C27" s="209">
        <v>60</v>
      </c>
      <c r="D27" s="210"/>
      <c r="E27" s="210"/>
      <c r="F27" s="210"/>
      <c r="G27" s="210"/>
      <c r="H27" s="210"/>
      <c r="I27" s="210"/>
      <c r="J27" s="211"/>
      <c r="K27" s="1"/>
      <c r="L27" s="1"/>
      <c r="M27" s="1"/>
      <c r="N27" s="1"/>
      <c r="O27" s="1"/>
    </row>
    <row r="28" spans="1:15" ht="12.75">
      <c r="A28" s="3" t="s">
        <v>28</v>
      </c>
      <c r="B28" s="3"/>
      <c r="C28" s="201">
        <v>4235.15</v>
      </c>
      <c r="D28" s="204"/>
      <c r="E28" s="204"/>
      <c r="F28" s="204"/>
      <c r="G28" s="204"/>
      <c r="H28" s="204"/>
      <c r="I28" s="204"/>
      <c r="J28" s="205"/>
      <c r="K28" s="1"/>
      <c r="L28" s="1"/>
      <c r="M28" s="1"/>
      <c r="N28" s="1"/>
      <c r="O28" s="1"/>
    </row>
    <row r="29" spans="1:15" ht="12.75">
      <c r="A29" s="3" t="s">
        <v>29</v>
      </c>
      <c r="B29" s="3"/>
      <c r="C29" s="201">
        <v>4106.85</v>
      </c>
      <c r="D29" s="204"/>
      <c r="E29" s="204"/>
      <c r="F29" s="204"/>
      <c r="G29" s="204"/>
      <c r="H29" s="204"/>
      <c r="I29" s="204"/>
      <c r="J29" s="205"/>
      <c r="K29" s="1"/>
      <c r="L29" s="1"/>
      <c r="M29" s="1"/>
      <c r="N29" s="1"/>
      <c r="O29" s="1"/>
    </row>
    <row r="30" spans="1:15" ht="12.75">
      <c r="A30" s="240" t="str">
        <f>'[1]SP NR 1'!A30:B30</f>
        <v>koszt utrzymania 1 ucznia w 2004</v>
      </c>
      <c r="B30" s="200"/>
      <c r="C30" s="201">
        <f>(G24+I24+H24)/C27</f>
        <v>12609.798499999999</v>
      </c>
      <c r="D30" s="202"/>
      <c r="E30" s="202"/>
      <c r="F30" s="202"/>
      <c r="G30" s="202"/>
      <c r="H30" s="202"/>
      <c r="I30" s="202"/>
      <c r="J30" s="203"/>
      <c r="K30" s="1"/>
      <c r="L30" s="1"/>
      <c r="M30" s="1"/>
      <c r="N30" s="1"/>
      <c r="O30" s="1"/>
    </row>
    <row r="31" spans="1:10" ht="12.75">
      <c r="A31" s="240" t="str">
        <f>'[1]SP NR 1'!A31:B31</f>
        <v>koszt utrzymania 1 ucznia w 2005</v>
      </c>
      <c r="B31" s="200"/>
      <c r="C31" s="224">
        <f>J24/C37</f>
        <v>9511.666666666666</v>
      </c>
      <c r="D31" s="222"/>
      <c r="E31" s="222"/>
      <c r="F31" s="222"/>
      <c r="G31" s="222"/>
      <c r="H31" s="222"/>
      <c r="I31" s="222"/>
      <c r="J31" s="223"/>
    </row>
    <row r="32" spans="1:10" ht="12.75">
      <c r="A32" s="198" t="s">
        <v>30</v>
      </c>
      <c r="B32" s="212"/>
      <c r="C32" s="201">
        <v>266814.45</v>
      </c>
      <c r="D32" s="204"/>
      <c r="E32" s="204"/>
      <c r="F32" s="204"/>
      <c r="G32" s="204"/>
      <c r="H32" s="204"/>
      <c r="I32" s="204"/>
      <c r="J32" s="205"/>
    </row>
    <row r="33" spans="1:10" ht="12.75">
      <c r="A33" s="198" t="s">
        <v>31</v>
      </c>
      <c r="B33" s="212"/>
      <c r="C33" s="201">
        <v>246411</v>
      </c>
      <c r="D33" s="204"/>
      <c r="E33" s="204"/>
      <c r="F33" s="204"/>
      <c r="G33" s="204"/>
      <c r="H33" s="204"/>
      <c r="I33" s="204"/>
      <c r="J33" s="205"/>
    </row>
    <row r="34" spans="1:10" ht="12.75">
      <c r="A34" s="3" t="s">
        <v>32</v>
      </c>
      <c r="B34" s="3"/>
      <c r="C34" s="201">
        <v>54981.36</v>
      </c>
      <c r="D34" s="204"/>
      <c r="E34" s="204"/>
      <c r="F34" s="204"/>
      <c r="G34" s="204"/>
      <c r="H34" s="204"/>
      <c r="I34" s="204"/>
      <c r="J34" s="205"/>
    </row>
    <row r="35" spans="1:10" ht="12.75">
      <c r="A35" s="3" t="s">
        <v>33</v>
      </c>
      <c r="B35" s="3"/>
      <c r="C35" s="201">
        <f>J24-C33</f>
        <v>324289</v>
      </c>
      <c r="D35" s="204"/>
      <c r="E35" s="204"/>
      <c r="F35" s="204"/>
      <c r="G35" s="204"/>
      <c r="H35" s="204"/>
      <c r="I35" s="204"/>
      <c r="J35" s="205"/>
    </row>
    <row r="36" spans="1:10" ht="12.75">
      <c r="A36" s="240" t="s">
        <v>361</v>
      </c>
      <c r="B36" s="241"/>
      <c r="C36" s="232">
        <v>63</v>
      </c>
      <c r="D36" s="210"/>
      <c r="E36" s="210"/>
      <c r="F36" s="210"/>
      <c r="G36" s="210"/>
      <c r="H36" s="210"/>
      <c r="I36" s="210"/>
      <c r="J36" s="211"/>
    </row>
    <row r="37" spans="1:10" ht="12.75">
      <c r="A37" s="242" t="s">
        <v>365</v>
      </c>
      <c r="B37" s="200"/>
      <c r="C37" s="232">
        <v>60</v>
      </c>
      <c r="D37" s="233"/>
      <c r="E37" s="233"/>
      <c r="F37" s="233"/>
      <c r="G37" s="233"/>
      <c r="H37" s="233"/>
      <c r="I37" s="233"/>
      <c r="J37" s="234"/>
    </row>
  </sheetData>
  <mergeCells count="22">
    <mergeCell ref="A36:B36"/>
    <mergeCell ref="C36:J36"/>
    <mergeCell ref="A37:B37"/>
    <mergeCell ref="C37:J37"/>
    <mergeCell ref="A33:B33"/>
    <mergeCell ref="C33:J33"/>
    <mergeCell ref="C34:J34"/>
    <mergeCell ref="C35:J35"/>
    <mergeCell ref="A31:B31"/>
    <mergeCell ref="C31:J31"/>
    <mergeCell ref="A32:B32"/>
    <mergeCell ref="C32:J32"/>
    <mergeCell ref="A24:B24"/>
    <mergeCell ref="A25:J25"/>
    <mergeCell ref="A30:B30"/>
    <mergeCell ref="C30:J30"/>
    <mergeCell ref="C28:J28"/>
    <mergeCell ref="C29:J29"/>
    <mergeCell ref="A26:B26"/>
    <mergeCell ref="A27:B27"/>
    <mergeCell ref="C26:J26"/>
    <mergeCell ref="C27:J2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J5" sqref="J5:J23"/>
    </sheetView>
  </sheetViews>
  <sheetFormatPr defaultColWidth="9.00390625" defaultRowHeight="12.75"/>
  <cols>
    <col min="1" max="1" width="9.00390625" style="0" customWidth="1"/>
    <col min="2" max="2" width="28.625" style="0" customWidth="1"/>
    <col min="3" max="3" width="10.125" style="0" customWidth="1"/>
    <col min="4" max="5" width="11.25390625" style="0" customWidth="1"/>
    <col min="6" max="6" width="10.375" style="0" customWidth="1"/>
    <col min="7" max="7" width="9.75390625" style="0" customWidth="1"/>
    <col min="8" max="8" width="11.25390625" style="0" customWidth="1"/>
    <col min="9" max="10" width="11.00390625" style="0" customWidth="1"/>
  </cols>
  <sheetData>
    <row r="1" spans="1:15" ht="12.75">
      <c r="A1" s="119" t="s">
        <v>386</v>
      </c>
      <c r="B1" s="8"/>
      <c r="C1" s="8"/>
      <c r="D1" s="8"/>
      <c r="E1" s="8"/>
      <c r="F1" s="8"/>
      <c r="G1" s="8"/>
      <c r="H1" s="8"/>
      <c r="I1" s="8" t="s">
        <v>387</v>
      </c>
      <c r="J1" s="1"/>
      <c r="K1" s="1"/>
      <c r="L1" s="1"/>
      <c r="M1" s="1"/>
      <c r="N1" s="1"/>
      <c r="O1" s="1"/>
    </row>
    <row r="2" spans="1:15" ht="12.75">
      <c r="A2" s="8"/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</row>
    <row r="4" spans="1:15" s="5" customFormat="1" ht="53.2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  <c r="K4" s="4"/>
      <c r="L4" s="4"/>
      <c r="M4" s="4"/>
      <c r="N4" s="4"/>
      <c r="O4" s="4"/>
    </row>
    <row r="5" spans="1:15" ht="25.5">
      <c r="A5" s="3">
        <v>3020</v>
      </c>
      <c r="B5" s="2" t="s">
        <v>9</v>
      </c>
      <c r="C5" s="110">
        <v>15063.02</v>
      </c>
      <c r="D5" s="110">
        <v>699.95</v>
      </c>
      <c r="E5" s="111">
        <f aca="true" t="shared" si="0" ref="E5:E23">SUM(C5:D5)</f>
        <v>15762.970000000001</v>
      </c>
      <c r="F5" s="110">
        <v>7620</v>
      </c>
      <c r="G5" s="110">
        <v>13313.03</v>
      </c>
      <c r="H5" s="110">
        <v>1225.48</v>
      </c>
      <c r="I5" s="116">
        <v>16165.91</v>
      </c>
      <c r="J5" s="115">
        <v>20000</v>
      </c>
      <c r="K5" s="1"/>
      <c r="L5" s="1"/>
      <c r="M5" s="1"/>
      <c r="N5" s="1"/>
      <c r="O5" s="1"/>
    </row>
    <row r="6" spans="1:15" ht="12.75">
      <c r="A6" s="3">
        <v>3240</v>
      </c>
      <c r="B6" s="2" t="s">
        <v>352</v>
      </c>
      <c r="C6" s="110"/>
      <c r="D6" s="110"/>
      <c r="E6" s="111"/>
      <c r="F6" s="110">
        <v>200</v>
      </c>
      <c r="G6" s="110">
        <v>200</v>
      </c>
      <c r="H6" s="110">
        <v>0</v>
      </c>
      <c r="I6" s="116">
        <v>200</v>
      </c>
      <c r="J6" s="115">
        <v>300</v>
      </c>
      <c r="K6" s="1"/>
      <c r="L6" s="1"/>
      <c r="M6" s="1"/>
      <c r="N6" s="1"/>
      <c r="O6" s="1"/>
    </row>
    <row r="7" spans="1:15" ht="24" customHeight="1">
      <c r="A7" s="3">
        <v>4010</v>
      </c>
      <c r="B7" s="2" t="s">
        <v>10</v>
      </c>
      <c r="C7" s="110">
        <v>222536</v>
      </c>
      <c r="D7" s="110">
        <v>50304.84</v>
      </c>
      <c r="E7" s="111">
        <f t="shared" si="0"/>
        <v>272840.83999999997</v>
      </c>
      <c r="F7" s="110">
        <v>236285</v>
      </c>
      <c r="G7" s="110">
        <v>174518.13</v>
      </c>
      <c r="H7" s="110">
        <v>55643.2</v>
      </c>
      <c r="I7" s="116">
        <v>210679.62</v>
      </c>
      <c r="J7" s="115">
        <v>271000</v>
      </c>
      <c r="K7" s="1"/>
      <c r="L7" s="1"/>
      <c r="M7" s="1"/>
      <c r="N7" s="1"/>
      <c r="O7" s="1"/>
    </row>
    <row r="8" spans="1:15" ht="16.5" customHeight="1">
      <c r="A8" s="3">
        <v>4040</v>
      </c>
      <c r="B8" s="2" t="s">
        <v>11</v>
      </c>
      <c r="C8" s="110">
        <v>17193.23</v>
      </c>
      <c r="D8" s="110">
        <v>20362.44</v>
      </c>
      <c r="E8" s="111">
        <f t="shared" si="0"/>
        <v>37555.67</v>
      </c>
      <c r="F8" s="110">
        <v>20600</v>
      </c>
      <c r="G8" s="110">
        <v>16434.52</v>
      </c>
      <c r="H8" s="110">
        <v>3927.92</v>
      </c>
      <c r="I8" s="116">
        <v>16434.52</v>
      </c>
      <c r="J8" s="115">
        <v>25000</v>
      </c>
      <c r="K8" s="1"/>
      <c r="L8" s="1"/>
      <c r="M8" s="1"/>
      <c r="N8" s="1"/>
      <c r="O8" s="1"/>
    </row>
    <row r="9" spans="1:15" ht="12.75">
      <c r="A9" s="3">
        <v>4110</v>
      </c>
      <c r="B9" s="2" t="s">
        <v>12</v>
      </c>
      <c r="C9" s="110">
        <v>42032.64</v>
      </c>
      <c r="D9" s="110">
        <v>39931.65</v>
      </c>
      <c r="E9" s="111">
        <f t="shared" si="0"/>
        <v>81964.29000000001</v>
      </c>
      <c r="F9" s="110">
        <v>55870</v>
      </c>
      <c r="G9" s="110">
        <v>33339.5</v>
      </c>
      <c r="H9" s="110">
        <v>39195.23</v>
      </c>
      <c r="I9" s="116">
        <v>40054.94</v>
      </c>
      <c r="J9" s="115">
        <v>87000</v>
      </c>
      <c r="K9" s="1"/>
      <c r="L9" s="1"/>
      <c r="M9" s="1"/>
      <c r="N9" s="1"/>
      <c r="O9" s="1"/>
    </row>
    <row r="10" spans="1:15" ht="15" customHeight="1">
      <c r="A10" s="3">
        <v>4120</v>
      </c>
      <c r="B10" s="2" t="s">
        <v>13</v>
      </c>
      <c r="C10" s="110">
        <v>6010.96</v>
      </c>
      <c r="D10" s="110">
        <v>6742.42</v>
      </c>
      <c r="E10" s="111">
        <f t="shared" si="0"/>
        <v>12753.380000000001</v>
      </c>
      <c r="F10" s="110">
        <v>9110</v>
      </c>
      <c r="G10" s="110">
        <v>4575.15</v>
      </c>
      <c r="H10" s="110">
        <v>6792.44</v>
      </c>
      <c r="I10" s="7">
        <v>5489.72</v>
      </c>
      <c r="J10" s="115">
        <v>12000</v>
      </c>
      <c r="K10" s="1"/>
      <c r="L10" s="1"/>
      <c r="M10" s="1"/>
      <c r="N10" s="1"/>
      <c r="O10" s="1"/>
    </row>
    <row r="11" spans="1:15" ht="12.75">
      <c r="A11" s="3">
        <v>4210</v>
      </c>
      <c r="B11" s="2" t="s">
        <v>14</v>
      </c>
      <c r="C11" s="110">
        <v>4769.61</v>
      </c>
      <c r="D11" s="110">
        <v>178.13</v>
      </c>
      <c r="E11" s="111">
        <f t="shared" si="0"/>
        <v>4947.74</v>
      </c>
      <c r="F11" s="110">
        <v>800</v>
      </c>
      <c r="G11" s="110">
        <v>1048</v>
      </c>
      <c r="H11" s="110">
        <v>705.41</v>
      </c>
      <c r="I11" s="116">
        <v>2001</v>
      </c>
      <c r="J11" s="115">
        <v>5000</v>
      </c>
      <c r="K11" s="1"/>
      <c r="L11" s="1"/>
      <c r="M11" s="1"/>
      <c r="N11" s="1"/>
      <c r="O11" s="1"/>
    </row>
    <row r="12" spans="1:15" ht="25.5">
      <c r="A12" s="3">
        <v>4240</v>
      </c>
      <c r="B12" s="2" t="s">
        <v>15</v>
      </c>
      <c r="C12" s="110">
        <v>61</v>
      </c>
      <c r="D12" s="110">
        <v>122</v>
      </c>
      <c r="E12" s="111">
        <f t="shared" si="0"/>
        <v>183</v>
      </c>
      <c r="F12" s="110">
        <v>1830</v>
      </c>
      <c r="G12" s="110">
        <v>1825.34</v>
      </c>
      <c r="H12" s="110">
        <v>520.02</v>
      </c>
      <c r="I12" s="116">
        <v>2350</v>
      </c>
      <c r="J12" s="115">
        <v>1500</v>
      </c>
      <c r="K12" s="1"/>
      <c r="L12" s="1"/>
      <c r="M12" s="1"/>
      <c r="N12" s="1"/>
      <c r="O12" s="1"/>
    </row>
    <row r="13" spans="1:15" ht="12.75">
      <c r="A13" s="3">
        <v>4260</v>
      </c>
      <c r="B13" s="2" t="s">
        <v>16</v>
      </c>
      <c r="C13" s="110">
        <v>26159.28</v>
      </c>
      <c r="D13" s="110">
        <v>8377.82</v>
      </c>
      <c r="E13" s="111">
        <f t="shared" si="0"/>
        <v>34537.1</v>
      </c>
      <c r="F13" s="110">
        <v>21500</v>
      </c>
      <c r="G13" s="110">
        <v>22396.76</v>
      </c>
      <c r="H13" s="110">
        <v>1291.99</v>
      </c>
      <c r="I13" s="116">
        <v>24300</v>
      </c>
      <c r="J13" s="115">
        <v>30000</v>
      </c>
      <c r="K13" s="1"/>
      <c r="L13" s="1"/>
      <c r="M13" s="1"/>
      <c r="N13" s="1"/>
      <c r="O13" s="1"/>
    </row>
    <row r="14" spans="1:15" ht="12.75">
      <c r="A14" s="3">
        <v>4270</v>
      </c>
      <c r="B14" s="2" t="s">
        <v>17</v>
      </c>
      <c r="C14" s="110"/>
      <c r="D14" s="110"/>
      <c r="E14" s="111">
        <f t="shared" si="0"/>
        <v>0</v>
      </c>
      <c r="F14" s="110">
        <v>0</v>
      </c>
      <c r="G14" s="110">
        <v>0</v>
      </c>
      <c r="H14" s="110">
        <v>0</v>
      </c>
      <c r="I14" s="7">
        <v>0</v>
      </c>
      <c r="J14" s="3">
        <v>1000</v>
      </c>
      <c r="K14" s="1"/>
      <c r="L14" s="1"/>
      <c r="M14" s="1"/>
      <c r="N14" s="1"/>
      <c r="O14" s="1"/>
    </row>
    <row r="15" spans="1:15" ht="12.75">
      <c r="A15" s="3">
        <v>4280</v>
      </c>
      <c r="B15" s="2" t="s">
        <v>18</v>
      </c>
      <c r="C15" s="110"/>
      <c r="D15" s="110"/>
      <c r="E15" s="111">
        <f t="shared" si="0"/>
        <v>0</v>
      </c>
      <c r="F15" s="110">
        <v>0</v>
      </c>
      <c r="G15" s="110">
        <v>0</v>
      </c>
      <c r="H15" s="110">
        <v>0</v>
      </c>
      <c r="I15" s="7">
        <v>0</v>
      </c>
      <c r="J15" s="3">
        <v>0</v>
      </c>
      <c r="K15" s="1"/>
      <c r="L15" s="1"/>
      <c r="M15" s="1"/>
      <c r="N15" s="1"/>
      <c r="O15" s="1"/>
    </row>
    <row r="16" spans="1:15" ht="12.75">
      <c r="A16" s="3">
        <v>4300</v>
      </c>
      <c r="B16" s="2" t="s">
        <v>19</v>
      </c>
      <c r="C16" s="110">
        <v>9720.29</v>
      </c>
      <c r="D16" s="110">
        <v>561.54</v>
      </c>
      <c r="E16" s="111">
        <f t="shared" si="0"/>
        <v>10281.830000000002</v>
      </c>
      <c r="F16" s="110">
        <v>5550</v>
      </c>
      <c r="G16" s="110">
        <v>5298.62</v>
      </c>
      <c r="H16" s="110">
        <v>1037.38</v>
      </c>
      <c r="I16" s="116">
        <v>7100</v>
      </c>
      <c r="J16" s="115">
        <v>9000</v>
      </c>
      <c r="K16" s="1"/>
      <c r="L16" s="1"/>
      <c r="M16" s="1"/>
      <c r="N16" s="1"/>
      <c r="O16" s="1"/>
    </row>
    <row r="17" spans="1:15" ht="12.75">
      <c r="A17" s="3">
        <v>4410</v>
      </c>
      <c r="B17" s="2" t="s">
        <v>20</v>
      </c>
      <c r="C17" s="110"/>
      <c r="D17" s="110"/>
      <c r="E17" s="111">
        <f t="shared" si="0"/>
        <v>0</v>
      </c>
      <c r="F17" s="110">
        <v>40</v>
      </c>
      <c r="G17" s="110">
        <v>23.99</v>
      </c>
      <c r="H17" s="110">
        <v>0</v>
      </c>
      <c r="I17" s="7">
        <v>48</v>
      </c>
      <c r="J17" s="3">
        <v>200</v>
      </c>
      <c r="K17" s="1"/>
      <c r="L17" s="1"/>
      <c r="M17" s="1"/>
      <c r="N17" s="1"/>
      <c r="O17" s="1"/>
    </row>
    <row r="18" spans="1:15" ht="12.75">
      <c r="A18" s="3">
        <v>4430</v>
      </c>
      <c r="B18" s="2" t="s">
        <v>362</v>
      </c>
      <c r="C18" s="110">
        <v>20</v>
      </c>
      <c r="D18" s="110"/>
      <c r="E18" s="111">
        <v>20</v>
      </c>
      <c r="F18" s="110">
        <v>281</v>
      </c>
      <c r="G18" s="110">
        <v>281</v>
      </c>
      <c r="H18" s="110">
        <v>0</v>
      </c>
      <c r="I18" s="116">
        <v>281</v>
      </c>
      <c r="J18" s="3">
        <v>250</v>
      </c>
      <c r="K18" s="1"/>
      <c r="L18" s="1"/>
      <c r="M18" s="1"/>
      <c r="N18" s="1"/>
      <c r="O18" s="1"/>
    </row>
    <row r="19" spans="1:15" ht="15.75" customHeight="1">
      <c r="A19" s="3">
        <v>4610</v>
      </c>
      <c r="B19" s="2" t="s">
        <v>355</v>
      </c>
      <c r="C19" s="110"/>
      <c r="D19" s="110"/>
      <c r="E19" s="111"/>
      <c r="F19" s="110">
        <v>0</v>
      </c>
      <c r="G19" s="110">
        <v>2233.7</v>
      </c>
      <c r="H19" s="110">
        <v>0</v>
      </c>
      <c r="I19" s="116">
        <v>2233.7</v>
      </c>
      <c r="J19" s="3">
        <v>0</v>
      </c>
      <c r="K19" s="1"/>
      <c r="L19" s="1"/>
      <c r="M19" s="1"/>
      <c r="N19" s="1"/>
      <c r="O19" s="1"/>
    </row>
    <row r="20" spans="1:15" ht="12.75">
      <c r="A20" s="3">
        <v>4580</v>
      </c>
      <c r="B20" s="2" t="s">
        <v>354</v>
      </c>
      <c r="C20" s="110"/>
      <c r="D20" s="110"/>
      <c r="E20" s="111"/>
      <c r="F20" s="110">
        <v>0</v>
      </c>
      <c r="G20" s="110">
        <v>1838.96</v>
      </c>
      <c r="H20" s="110">
        <v>347.38</v>
      </c>
      <c r="I20" s="116">
        <v>2187</v>
      </c>
      <c r="J20" s="3">
        <v>0</v>
      </c>
      <c r="K20" s="1"/>
      <c r="L20" s="1"/>
      <c r="M20" s="1"/>
      <c r="N20" s="1"/>
      <c r="O20" s="1"/>
    </row>
    <row r="21" spans="1:15" ht="25.5">
      <c r="A21" s="3">
        <v>4440</v>
      </c>
      <c r="B21" s="2" t="s">
        <v>21</v>
      </c>
      <c r="C21" s="110">
        <v>16960</v>
      </c>
      <c r="D21" s="110"/>
      <c r="E21" s="111">
        <f t="shared" si="0"/>
        <v>16960</v>
      </c>
      <c r="F21" s="110">
        <v>0</v>
      </c>
      <c r="G21" s="110">
        <v>0</v>
      </c>
      <c r="H21" s="110">
        <v>14181</v>
      </c>
      <c r="I21" s="7">
        <v>0</v>
      </c>
      <c r="J21" s="115">
        <v>28450</v>
      </c>
      <c r="K21" s="1"/>
      <c r="L21" s="1"/>
      <c r="M21" s="1"/>
      <c r="N21" s="1"/>
      <c r="O21" s="1"/>
    </row>
    <row r="22" spans="1:15" ht="25.5">
      <c r="A22" s="3">
        <v>6050</v>
      </c>
      <c r="B22" s="2" t="s">
        <v>23</v>
      </c>
      <c r="C22" s="110"/>
      <c r="D22" s="110"/>
      <c r="E22" s="111">
        <f t="shared" si="0"/>
        <v>0</v>
      </c>
      <c r="F22" s="110">
        <v>0</v>
      </c>
      <c r="G22" s="110">
        <v>0</v>
      </c>
      <c r="H22" s="110">
        <v>0</v>
      </c>
      <c r="I22" s="7">
        <v>0</v>
      </c>
      <c r="J22" s="3">
        <v>0</v>
      </c>
      <c r="K22" s="1"/>
      <c r="L22" s="1"/>
      <c r="M22" s="1"/>
      <c r="N22" s="1"/>
      <c r="O22" s="1"/>
    </row>
    <row r="23" spans="1:15" ht="25.5">
      <c r="A23" s="3">
        <v>6060</v>
      </c>
      <c r="B23" s="2" t="s">
        <v>22</v>
      </c>
      <c r="C23" s="110"/>
      <c r="D23" s="110"/>
      <c r="E23" s="111">
        <f t="shared" si="0"/>
        <v>0</v>
      </c>
      <c r="F23" s="110">
        <v>0</v>
      </c>
      <c r="G23" s="110">
        <v>0</v>
      </c>
      <c r="H23" s="110">
        <v>0</v>
      </c>
      <c r="I23" s="7">
        <v>0</v>
      </c>
      <c r="J23" s="3">
        <v>0</v>
      </c>
      <c r="K23" s="1"/>
      <c r="L23" s="1"/>
      <c r="M23" s="1"/>
      <c r="N23" s="1"/>
      <c r="O23" s="1"/>
    </row>
    <row r="24" spans="1:15" ht="12.75">
      <c r="A24" s="196" t="s">
        <v>34</v>
      </c>
      <c r="B24" s="197"/>
      <c r="C24" s="112">
        <f aca="true" t="shared" si="1" ref="C24:J24">SUM(C5:C23)</f>
        <v>360526.02999999997</v>
      </c>
      <c r="D24" s="112">
        <f t="shared" si="1"/>
        <v>127280.79</v>
      </c>
      <c r="E24" s="112">
        <f t="shared" si="1"/>
        <v>487806.8199999999</v>
      </c>
      <c r="F24" s="112">
        <f t="shared" si="1"/>
        <v>359686</v>
      </c>
      <c r="G24" s="112">
        <f t="shared" si="1"/>
        <v>277326.7</v>
      </c>
      <c r="H24" s="112">
        <f t="shared" si="1"/>
        <v>124867.45000000003</v>
      </c>
      <c r="I24" s="126">
        <f>SUM(I5:I23)</f>
        <v>329525.41</v>
      </c>
      <c r="J24" s="112">
        <f t="shared" si="1"/>
        <v>490700</v>
      </c>
      <c r="K24" s="1"/>
      <c r="L24" s="1"/>
      <c r="M24" s="1"/>
      <c r="N24" s="1"/>
      <c r="O24" s="1"/>
    </row>
    <row r="25" spans="1:15" ht="12.75">
      <c r="A25" s="195"/>
      <c r="B25" s="202"/>
      <c r="C25" s="202"/>
      <c r="D25" s="202"/>
      <c r="E25" s="202"/>
      <c r="F25" s="202"/>
      <c r="G25" s="202"/>
      <c r="H25" s="202"/>
      <c r="I25" s="202"/>
      <c r="J25" s="203"/>
      <c r="K25" s="1"/>
      <c r="L25" s="1"/>
      <c r="M25" s="1"/>
      <c r="N25" s="1"/>
      <c r="O25" s="1"/>
    </row>
    <row r="26" spans="1:15" ht="12.75">
      <c r="A26" s="245" t="s">
        <v>26</v>
      </c>
      <c r="B26" s="244"/>
      <c r="C26" s="206">
        <v>56</v>
      </c>
      <c r="D26" s="207"/>
      <c r="E26" s="207"/>
      <c r="F26" s="207"/>
      <c r="G26" s="207"/>
      <c r="H26" s="207"/>
      <c r="I26" s="207"/>
      <c r="J26" s="208"/>
      <c r="K26" s="1"/>
      <c r="L26" s="1"/>
      <c r="M26" s="1"/>
      <c r="N26" s="1"/>
      <c r="O26" s="1"/>
    </row>
    <row r="27" spans="1:15" ht="12.75">
      <c r="A27" s="245" t="s">
        <v>27</v>
      </c>
      <c r="B27" s="244"/>
      <c r="C27" s="209">
        <v>58</v>
      </c>
      <c r="D27" s="210"/>
      <c r="E27" s="210"/>
      <c r="F27" s="210"/>
      <c r="G27" s="210"/>
      <c r="H27" s="210"/>
      <c r="I27" s="210"/>
      <c r="J27" s="211"/>
      <c r="K27" s="1"/>
      <c r="L27" s="1"/>
      <c r="M27" s="1"/>
      <c r="N27" s="1"/>
      <c r="O27" s="1"/>
    </row>
    <row r="28" spans="1:15" ht="12.75">
      <c r="A28" s="113" t="s">
        <v>28</v>
      </c>
      <c r="B28" s="113"/>
      <c r="C28" s="209">
        <v>4235.15</v>
      </c>
      <c r="D28" s="210"/>
      <c r="E28" s="210"/>
      <c r="F28" s="210"/>
      <c r="G28" s="210"/>
      <c r="H28" s="210"/>
      <c r="I28" s="210"/>
      <c r="J28" s="211"/>
      <c r="K28" s="1"/>
      <c r="L28" s="1"/>
      <c r="M28" s="1"/>
      <c r="N28" s="1"/>
      <c r="O28" s="1"/>
    </row>
    <row r="29" spans="1:15" ht="12.75">
      <c r="A29" s="113" t="s">
        <v>29</v>
      </c>
      <c r="B29" s="113"/>
      <c r="C29" s="209">
        <v>4106.85</v>
      </c>
      <c r="D29" s="210"/>
      <c r="E29" s="210"/>
      <c r="F29" s="210"/>
      <c r="G29" s="210"/>
      <c r="H29" s="210"/>
      <c r="I29" s="210"/>
      <c r="J29" s="211"/>
      <c r="K29" s="1"/>
      <c r="L29" s="1"/>
      <c r="M29" s="1"/>
      <c r="N29" s="1"/>
      <c r="O29" s="1"/>
    </row>
    <row r="30" spans="1:15" ht="12.75">
      <c r="A30" s="243" t="str">
        <f>'[1]SP NR 1'!A30:B30</f>
        <v>koszt utrzymania 1 ucznia w 2004</v>
      </c>
      <c r="B30" s="244"/>
      <c r="C30" s="201">
        <f>(G24+I24+H24)/C27</f>
        <v>12615.854482758621</v>
      </c>
      <c r="D30" s="202"/>
      <c r="E30" s="202"/>
      <c r="F30" s="202"/>
      <c r="G30" s="202"/>
      <c r="H30" s="202"/>
      <c r="I30" s="202"/>
      <c r="J30" s="203"/>
      <c r="K30" s="1"/>
      <c r="L30" s="1"/>
      <c r="M30" s="1"/>
      <c r="N30" s="1"/>
      <c r="O30" s="1"/>
    </row>
    <row r="31" spans="1:10" ht="12.75">
      <c r="A31" s="245" t="str">
        <f>'[1]SP NR 1'!A31:B31</f>
        <v>koszt utrzymania 1 ucznia w 2005</v>
      </c>
      <c r="B31" s="244"/>
      <c r="C31" s="232">
        <f>J24/C37</f>
        <v>8460.344827586207</v>
      </c>
      <c r="D31" s="246"/>
      <c r="E31" s="246"/>
      <c r="F31" s="246"/>
      <c r="G31" s="246"/>
      <c r="H31" s="246"/>
      <c r="I31" s="246"/>
      <c r="J31" s="247"/>
    </row>
    <row r="32" spans="1:10" ht="12.75">
      <c r="A32" s="245" t="s">
        <v>30</v>
      </c>
      <c r="B32" s="248"/>
      <c r="C32" s="249">
        <v>241403.55</v>
      </c>
      <c r="D32" s="250"/>
      <c r="E32" s="250"/>
      <c r="F32" s="250"/>
      <c r="G32" s="250"/>
      <c r="H32" s="250"/>
      <c r="I32" s="250"/>
      <c r="J32" s="251"/>
    </row>
    <row r="33" spans="1:10" ht="12.75">
      <c r="A33" s="245" t="s">
        <v>31</v>
      </c>
      <c r="B33" s="248"/>
      <c r="C33" s="209">
        <v>238197.3</v>
      </c>
      <c r="D33" s="210"/>
      <c r="E33" s="210"/>
      <c r="F33" s="210"/>
      <c r="G33" s="210"/>
      <c r="H33" s="210"/>
      <c r="I33" s="210"/>
      <c r="J33" s="211"/>
    </row>
    <row r="34" spans="1:10" ht="12.75">
      <c r="A34" s="113" t="s">
        <v>32</v>
      </c>
      <c r="B34" s="113"/>
      <c r="C34" s="209">
        <v>49745.04</v>
      </c>
      <c r="D34" s="210"/>
      <c r="E34" s="210"/>
      <c r="F34" s="210"/>
      <c r="G34" s="210"/>
      <c r="H34" s="210"/>
      <c r="I34" s="210"/>
      <c r="J34" s="211"/>
    </row>
    <row r="35" spans="1:10" ht="12.75">
      <c r="A35" s="113" t="s">
        <v>33</v>
      </c>
      <c r="B35" s="113"/>
      <c r="C35" s="201">
        <f>J24-C33</f>
        <v>252502.7</v>
      </c>
      <c r="D35" s="204"/>
      <c r="E35" s="204"/>
      <c r="F35" s="204"/>
      <c r="G35" s="204"/>
      <c r="H35" s="204"/>
      <c r="I35" s="204"/>
      <c r="J35" s="205"/>
    </row>
    <row r="36" spans="1:10" ht="12.75">
      <c r="A36" s="243" t="s">
        <v>361</v>
      </c>
      <c r="B36" s="252"/>
      <c r="C36" s="209">
        <v>57</v>
      </c>
      <c r="D36" s="210"/>
      <c r="E36" s="210"/>
      <c r="F36" s="210"/>
      <c r="G36" s="210"/>
      <c r="H36" s="210"/>
      <c r="I36" s="210"/>
      <c r="J36" s="211"/>
    </row>
    <row r="37" spans="1:10" ht="12.75">
      <c r="A37" s="253" t="s">
        <v>365</v>
      </c>
      <c r="B37" s="244"/>
      <c r="C37" s="209">
        <v>58</v>
      </c>
      <c r="D37" s="210"/>
      <c r="E37" s="210"/>
      <c r="F37" s="210"/>
      <c r="G37" s="210"/>
      <c r="H37" s="210"/>
      <c r="I37" s="210"/>
      <c r="J37" s="211"/>
    </row>
  </sheetData>
  <mergeCells count="22">
    <mergeCell ref="A36:B36"/>
    <mergeCell ref="C36:J36"/>
    <mergeCell ref="A37:B37"/>
    <mergeCell ref="C37:J37"/>
    <mergeCell ref="A33:B33"/>
    <mergeCell ref="C33:J33"/>
    <mergeCell ref="C34:J34"/>
    <mergeCell ref="C35:J35"/>
    <mergeCell ref="A31:B31"/>
    <mergeCell ref="C31:J31"/>
    <mergeCell ref="A32:B32"/>
    <mergeCell ref="C32:J32"/>
    <mergeCell ref="A24:B24"/>
    <mergeCell ref="A25:J25"/>
    <mergeCell ref="A30:B30"/>
    <mergeCell ref="C30:J30"/>
    <mergeCell ref="C28:J28"/>
    <mergeCell ref="C29:J29"/>
    <mergeCell ref="A26:B26"/>
    <mergeCell ref="A27:B27"/>
    <mergeCell ref="C26:J26"/>
    <mergeCell ref="C27:J27"/>
  </mergeCells>
  <printOptions/>
  <pageMargins left="0.75" right="0.75" top="1" bottom="1" header="0.5" footer="0.5"/>
  <pageSetup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J5" sqref="J5:J23"/>
    </sheetView>
  </sheetViews>
  <sheetFormatPr defaultColWidth="9.00390625" defaultRowHeight="12.75"/>
  <cols>
    <col min="1" max="1" width="9.00390625" style="0" customWidth="1"/>
    <col min="2" max="2" width="28.00390625" style="0" customWidth="1"/>
    <col min="3" max="3" width="11.375" style="0" customWidth="1"/>
    <col min="4" max="5" width="11.25390625" style="0" customWidth="1"/>
    <col min="6" max="6" width="12.00390625" style="0" customWidth="1"/>
    <col min="7" max="7" width="9.75390625" style="0" customWidth="1"/>
    <col min="8" max="8" width="11.25390625" style="0" customWidth="1"/>
    <col min="9" max="10" width="11.00390625" style="0" customWidth="1"/>
  </cols>
  <sheetData>
    <row r="1" spans="1:15" ht="12.75">
      <c r="A1" s="119" t="s">
        <v>388</v>
      </c>
      <c r="B1" s="8"/>
      <c r="C1" s="8"/>
      <c r="D1" s="8"/>
      <c r="E1" s="8"/>
      <c r="F1" s="8"/>
      <c r="G1" s="8"/>
      <c r="H1" s="8"/>
      <c r="I1" s="8" t="s">
        <v>389</v>
      </c>
      <c r="J1" s="1"/>
      <c r="K1" s="1"/>
      <c r="L1" s="1"/>
      <c r="M1" s="1"/>
      <c r="N1" s="1"/>
      <c r="O1" s="1"/>
    </row>
    <row r="2" spans="1:15" ht="12.75">
      <c r="A2" s="8"/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</row>
    <row r="4" spans="1:15" s="5" customFormat="1" ht="53.2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  <c r="K4" s="4"/>
      <c r="L4" s="4"/>
      <c r="M4" s="4"/>
      <c r="N4" s="4"/>
      <c r="O4" s="4"/>
    </row>
    <row r="5" spans="1:15" ht="25.5">
      <c r="A5" s="3">
        <v>3020</v>
      </c>
      <c r="B5" s="2" t="s">
        <v>9</v>
      </c>
      <c r="C5" s="110">
        <v>57423.8</v>
      </c>
      <c r="D5" s="110">
        <v>2806.76</v>
      </c>
      <c r="E5" s="111">
        <f aca="true" t="shared" si="0" ref="E5:E23">SUM(C5:D5)</f>
        <v>60230.560000000005</v>
      </c>
      <c r="F5" s="110">
        <v>25303</v>
      </c>
      <c r="G5" s="110">
        <v>49570.17</v>
      </c>
      <c r="H5" s="110">
        <v>4677.81</v>
      </c>
      <c r="I5" s="116">
        <v>60427.39</v>
      </c>
      <c r="J5" s="3">
        <v>79000</v>
      </c>
      <c r="K5" s="1"/>
      <c r="L5" s="1"/>
      <c r="M5" s="1"/>
      <c r="N5" s="1"/>
      <c r="O5" s="1"/>
    </row>
    <row r="6" spans="1:15" ht="18" customHeight="1">
      <c r="A6" s="3">
        <v>3240</v>
      </c>
      <c r="B6" s="2" t="s">
        <v>352</v>
      </c>
      <c r="C6" s="110"/>
      <c r="D6" s="110"/>
      <c r="E6" s="111"/>
      <c r="F6" s="110">
        <v>500</v>
      </c>
      <c r="G6" s="110">
        <v>0</v>
      </c>
      <c r="H6" s="110">
        <v>0</v>
      </c>
      <c r="I6" s="116">
        <v>0</v>
      </c>
      <c r="J6" s="3">
        <v>500</v>
      </c>
      <c r="K6" s="1"/>
      <c r="L6" s="1"/>
      <c r="M6" s="1"/>
      <c r="N6" s="1"/>
      <c r="O6" s="1"/>
    </row>
    <row r="7" spans="1:15" ht="24.75" customHeight="1">
      <c r="A7" s="3">
        <v>4010</v>
      </c>
      <c r="B7" s="2" t="s">
        <v>10</v>
      </c>
      <c r="C7" s="110">
        <v>728862.43</v>
      </c>
      <c r="D7" s="110">
        <v>175776.67</v>
      </c>
      <c r="E7" s="111">
        <f t="shared" si="0"/>
        <v>904639.1000000001</v>
      </c>
      <c r="F7" s="110">
        <v>900168</v>
      </c>
      <c r="G7" s="110">
        <v>621712.87</v>
      </c>
      <c r="H7" s="110">
        <v>140821.39</v>
      </c>
      <c r="I7" s="116">
        <v>752507.6</v>
      </c>
      <c r="J7" s="115">
        <v>984000</v>
      </c>
      <c r="K7" s="1"/>
      <c r="L7" s="1"/>
      <c r="M7" s="1"/>
      <c r="N7" s="1"/>
      <c r="O7" s="1"/>
    </row>
    <row r="8" spans="1:15" ht="16.5" customHeight="1">
      <c r="A8" s="3">
        <v>4040</v>
      </c>
      <c r="B8" s="2" t="s">
        <v>11</v>
      </c>
      <c r="C8" s="110">
        <v>59477.22</v>
      </c>
      <c r="D8" s="110">
        <v>62985.53</v>
      </c>
      <c r="E8" s="111">
        <f t="shared" si="0"/>
        <v>122462.75</v>
      </c>
      <c r="F8" s="110">
        <v>63000</v>
      </c>
      <c r="G8" s="110">
        <v>62985.53</v>
      </c>
      <c r="H8" s="110">
        <v>0</v>
      </c>
      <c r="I8" s="116">
        <v>62985.53</v>
      </c>
      <c r="J8" s="3">
        <v>80000</v>
      </c>
      <c r="K8" s="1"/>
      <c r="L8" s="1"/>
      <c r="M8" s="1"/>
      <c r="N8" s="1"/>
      <c r="O8" s="1"/>
    </row>
    <row r="9" spans="1:15" ht="18.75" customHeight="1">
      <c r="A9" s="3">
        <v>4110</v>
      </c>
      <c r="B9" s="2" t="s">
        <v>12</v>
      </c>
      <c r="C9" s="110">
        <v>168041.39</v>
      </c>
      <c r="D9" s="110">
        <v>134283.15</v>
      </c>
      <c r="E9" s="111">
        <f t="shared" si="0"/>
        <v>302324.54000000004</v>
      </c>
      <c r="F9" s="110">
        <v>218664</v>
      </c>
      <c r="G9" s="110">
        <v>115862.03</v>
      </c>
      <c r="H9" s="110">
        <v>171143.27</v>
      </c>
      <c r="I9" s="116">
        <v>141175.74</v>
      </c>
      <c r="J9" s="3">
        <v>316000</v>
      </c>
      <c r="K9" s="1"/>
      <c r="L9" s="1"/>
      <c r="M9" s="1"/>
      <c r="N9" s="1"/>
      <c r="O9" s="1"/>
    </row>
    <row r="10" spans="1:15" ht="15" customHeight="1">
      <c r="A10" s="3">
        <v>4120</v>
      </c>
      <c r="B10" s="2" t="s">
        <v>13</v>
      </c>
      <c r="C10" s="110">
        <v>21198.03</v>
      </c>
      <c r="D10" s="110">
        <v>19997.15</v>
      </c>
      <c r="E10" s="111">
        <f t="shared" si="0"/>
        <v>41195.18</v>
      </c>
      <c r="F10" s="110">
        <v>25918</v>
      </c>
      <c r="G10" s="110">
        <v>15788.46</v>
      </c>
      <c r="H10" s="110">
        <v>20360.73</v>
      </c>
      <c r="I10" s="116">
        <v>19235.91</v>
      </c>
      <c r="J10" s="3">
        <v>48000</v>
      </c>
      <c r="K10" s="1"/>
      <c r="L10" s="1"/>
      <c r="M10" s="1"/>
      <c r="N10" s="1"/>
      <c r="O10" s="1"/>
    </row>
    <row r="11" spans="1:15" ht="12.75">
      <c r="A11" s="3">
        <v>4210</v>
      </c>
      <c r="B11" s="2" t="s">
        <v>14</v>
      </c>
      <c r="C11" s="110">
        <v>23807.81</v>
      </c>
      <c r="D11" s="110">
        <v>1164.76</v>
      </c>
      <c r="E11" s="111">
        <f t="shared" si="0"/>
        <v>24972.57</v>
      </c>
      <c r="F11" s="110">
        <v>2184</v>
      </c>
      <c r="G11" s="110">
        <v>4989.84</v>
      </c>
      <c r="H11" s="110">
        <v>1652.23</v>
      </c>
      <c r="I11" s="116">
        <v>9000</v>
      </c>
      <c r="J11" s="3">
        <v>30000</v>
      </c>
      <c r="K11" s="1"/>
      <c r="L11" s="1"/>
      <c r="M11" s="1"/>
      <c r="N11" s="1"/>
      <c r="O11" s="1"/>
    </row>
    <row r="12" spans="1:15" ht="25.5">
      <c r="A12" s="3">
        <v>4240</v>
      </c>
      <c r="B12" s="2" t="s">
        <v>15</v>
      </c>
      <c r="C12" s="110">
        <v>1402.76</v>
      </c>
      <c r="D12" s="110">
        <v>448.4</v>
      </c>
      <c r="E12" s="111">
        <f t="shared" si="0"/>
        <v>1851.1599999999999</v>
      </c>
      <c r="F12" s="110">
        <v>3369</v>
      </c>
      <c r="G12" s="110">
        <v>3368.97</v>
      </c>
      <c r="H12" s="110">
        <v>745.9</v>
      </c>
      <c r="I12" s="116">
        <v>49120</v>
      </c>
      <c r="J12" s="3">
        <v>4000</v>
      </c>
      <c r="K12" s="1"/>
      <c r="L12" s="1"/>
      <c r="M12" s="1"/>
      <c r="N12" s="1"/>
      <c r="O12" s="1"/>
    </row>
    <row r="13" spans="1:15" ht="12.75">
      <c r="A13" s="3">
        <v>4260</v>
      </c>
      <c r="B13" s="2" t="s">
        <v>16</v>
      </c>
      <c r="C13" s="110">
        <v>51288.43</v>
      </c>
      <c r="D13" s="110">
        <v>17971.33</v>
      </c>
      <c r="E13" s="111">
        <f t="shared" si="0"/>
        <v>69259.76000000001</v>
      </c>
      <c r="F13" s="110">
        <v>45190</v>
      </c>
      <c r="G13" s="110">
        <v>42612.14</v>
      </c>
      <c r="H13" s="110">
        <v>27339.38</v>
      </c>
      <c r="I13" s="116">
        <v>49510</v>
      </c>
      <c r="J13" s="3">
        <v>100000</v>
      </c>
      <c r="K13" s="1"/>
      <c r="L13" s="1"/>
      <c r="M13" s="1"/>
      <c r="N13" s="1"/>
      <c r="O13" s="1"/>
    </row>
    <row r="14" spans="1:15" ht="12.75">
      <c r="A14" s="3">
        <v>4270</v>
      </c>
      <c r="B14" s="2" t="s">
        <v>17</v>
      </c>
      <c r="C14" s="110"/>
      <c r="D14" s="110"/>
      <c r="E14" s="111">
        <f t="shared" si="0"/>
        <v>0</v>
      </c>
      <c r="F14" s="110">
        <v>0</v>
      </c>
      <c r="G14" s="110">
        <v>0</v>
      </c>
      <c r="H14" s="110">
        <v>0</v>
      </c>
      <c r="I14" s="7">
        <v>0</v>
      </c>
      <c r="J14" s="3">
        <v>5400</v>
      </c>
      <c r="K14" s="1"/>
      <c r="L14" s="1"/>
      <c r="M14" s="1"/>
      <c r="N14" s="1"/>
      <c r="O14" s="1"/>
    </row>
    <row r="15" spans="1:15" ht="12.75">
      <c r="A15" s="3">
        <v>4280</v>
      </c>
      <c r="B15" s="2" t="s">
        <v>18</v>
      </c>
      <c r="C15" s="110"/>
      <c r="D15" s="110"/>
      <c r="E15" s="111">
        <f t="shared" si="0"/>
        <v>0</v>
      </c>
      <c r="F15" s="110">
        <v>0</v>
      </c>
      <c r="G15" s="110">
        <v>0</v>
      </c>
      <c r="H15" s="110">
        <v>0</v>
      </c>
      <c r="I15" s="7">
        <v>0</v>
      </c>
      <c r="J15" s="3">
        <v>0</v>
      </c>
      <c r="K15" s="1"/>
      <c r="L15" s="1"/>
      <c r="M15" s="1"/>
      <c r="N15" s="1"/>
      <c r="O15" s="1"/>
    </row>
    <row r="16" spans="1:15" ht="12.75">
      <c r="A16" s="3">
        <v>4300</v>
      </c>
      <c r="B16" s="2" t="s">
        <v>19</v>
      </c>
      <c r="C16" s="110">
        <v>35208.97</v>
      </c>
      <c r="D16" s="110">
        <v>11264.29</v>
      </c>
      <c r="E16" s="111">
        <f t="shared" si="0"/>
        <v>46473.26</v>
      </c>
      <c r="F16" s="110">
        <v>38679</v>
      </c>
      <c r="G16" s="110">
        <v>44530.68</v>
      </c>
      <c r="H16" s="110">
        <v>23399.92</v>
      </c>
      <c r="I16" s="116">
        <v>50200</v>
      </c>
      <c r="J16" s="3">
        <v>110000</v>
      </c>
      <c r="K16" s="1"/>
      <c r="L16" s="1"/>
      <c r="M16" s="1"/>
      <c r="N16" s="1"/>
      <c r="O16" s="1"/>
    </row>
    <row r="17" spans="1:15" ht="12.75">
      <c r="A17" s="3">
        <v>4410</v>
      </c>
      <c r="B17" s="2" t="s">
        <v>20</v>
      </c>
      <c r="C17" s="110"/>
      <c r="D17" s="110"/>
      <c r="E17" s="111">
        <f t="shared" si="0"/>
        <v>0</v>
      </c>
      <c r="F17" s="110">
        <v>500</v>
      </c>
      <c r="G17" s="110">
        <v>0</v>
      </c>
      <c r="H17" s="110">
        <v>0</v>
      </c>
      <c r="I17" s="7">
        <v>0</v>
      </c>
      <c r="J17" s="3">
        <v>600</v>
      </c>
      <c r="K17" s="1"/>
      <c r="L17" s="1"/>
      <c r="M17" s="1"/>
      <c r="N17" s="1"/>
      <c r="O17" s="1"/>
    </row>
    <row r="18" spans="1:15" ht="12.75">
      <c r="A18" s="3">
        <v>4430</v>
      </c>
      <c r="B18" s="2" t="s">
        <v>362</v>
      </c>
      <c r="C18" s="110">
        <v>20</v>
      </c>
      <c r="D18" s="110"/>
      <c r="E18" s="111">
        <v>20</v>
      </c>
      <c r="F18" s="110">
        <v>140</v>
      </c>
      <c r="G18" s="110">
        <v>140</v>
      </c>
      <c r="H18" s="110">
        <v>0</v>
      </c>
      <c r="I18" s="7">
        <v>140</v>
      </c>
      <c r="J18" s="3">
        <v>310</v>
      </c>
      <c r="K18" s="1"/>
      <c r="L18" s="1"/>
      <c r="M18" s="1"/>
      <c r="N18" s="1"/>
      <c r="O18" s="1"/>
    </row>
    <row r="19" spans="1:15" ht="18" customHeight="1">
      <c r="A19" s="3">
        <v>4580</v>
      </c>
      <c r="B19" s="2" t="s">
        <v>354</v>
      </c>
      <c r="C19" s="110">
        <v>12429.96</v>
      </c>
      <c r="D19" s="110"/>
      <c r="E19" s="111">
        <v>12429.96</v>
      </c>
      <c r="F19" s="110">
        <v>0</v>
      </c>
      <c r="G19" s="110">
        <v>28389.72</v>
      </c>
      <c r="H19" s="110">
        <v>0</v>
      </c>
      <c r="I19" s="116">
        <v>28512.75</v>
      </c>
      <c r="J19" s="3">
        <v>0</v>
      </c>
      <c r="K19" s="1"/>
      <c r="L19" s="1"/>
      <c r="M19" s="1"/>
      <c r="N19" s="1"/>
      <c r="O19" s="1"/>
    </row>
    <row r="20" spans="1:15" ht="15" customHeight="1">
      <c r="A20" s="3">
        <v>4610</v>
      </c>
      <c r="B20" s="2" t="s">
        <v>355</v>
      </c>
      <c r="C20" s="110"/>
      <c r="D20" s="110"/>
      <c r="E20" s="111"/>
      <c r="F20" s="110">
        <v>0</v>
      </c>
      <c r="G20" s="110">
        <v>6700.4</v>
      </c>
      <c r="H20" s="110">
        <v>0</v>
      </c>
      <c r="I20" s="116">
        <v>7067.8</v>
      </c>
      <c r="J20" s="3">
        <v>0</v>
      </c>
      <c r="K20" s="1"/>
      <c r="L20" s="1"/>
      <c r="M20" s="1"/>
      <c r="N20" s="1"/>
      <c r="O20" s="1"/>
    </row>
    <row r="21" spans="1:15" ht="25.5">
      <c r="A21" s="3">
        <v>4440</v>
      </c>
      <c r="B21" s="2" t="s">
        <v>21</v>
      </c>
      <c r="C21" s="110">
        <v>71251.8</v>
      </c>
      <c r="D21" s="110">
        <v>82.2</v>
      </c>
      <c r="E21" s="111">
        <f t="shared" si="0"/>
        <v>71334</v>
      </c>
      <c r="F21" s="110">
        <v>83</v>
      </c>
      <c r="G21" s="110">
        <v>82.2</v>
      </c>
      <c r="H21" s="110">
        <v>44799.8</v>
      </c>
      <c r="I21" s="7">
        <v>82.2</v>
      </c>
      <c r="J21" s="3">
        <v>90190</v>
      </c>
      <c r="K21" s="1"/>
      <c r="L21" s="1"/>
      <c r="M21" s="1"/>
      <c r="N21" s="1"/>
      <c r="O21" s="1"/>
    </row>
    <row r="22" spans="1:15" ht="25.5">
      <c r="A22" s="3">
        <v>6050</v>
      </c>
      <c r="B22" s="2" t="s">
        <v>23</v>
      </c>
      <c r="C22" s="110"/>
      <c r="D22" s="110"/>
      <c r="E22" s="111">
        <f t="shared" si="0"/>
        <v>0</v>
      </c>
      <c r="F22" s="110">
        <v>0</v>
      </c>
      <c r="G22" s="110">
        <v>0</v>
      </c>
      <c r="H22" s="110">
        <v>0</v>
      </c>
      <c r="I22" s="7">
        <v>0</v>
      </c>
      <c r="J22" s="3">
        <v>0</v>
      </c>
      <c r="K22" s="1"/>
      <c r="L22" s="1"/>
      <c r="M22" s="1"/>
      <c r="N22" s="1"/>
      <c r="O22" s="1"/>
    </row>
    <row r="23" spans="1:15" ht="25.5">
      <c r="A23" s="3">
        <v>6060</v>
      </c>
      <c r="B23" s="2" t="s">
        <v>22</v>
      </c>
      <c r="C23" s="110"/>
      <c r="D23" s="110"/>
      <c r="E23" s="111">
        <f t="shared" si="0"/>
        <v>0</v>
      </c>
      <c r="F23" s="110">
        <v>0</v>
      </c>
      <c r="G23" s="110">
        <v>0</v>
      </c>
      <c r="H23" s="110">
        <v>0</v>
      </c>
      <c r="I23" s="7">
        <v>0</v>
      </c>
      <c r="J23" s="3">
        <v>0</v>
      </c>
      <c r="K23" s="1"/>
      <c r="L23" s="1"/>
      <c r="M23" s="1"/>
      <c r="N23" s="1"/>
      <c r="O23" s="1"/>
    </row>
    <row r="24" spans="1:15" ht="12.75">
      <c r="A24" s="196" t="s">
        <v>34</v>
      </c>
      <c r="B24" s="197"/>
      <c r="C24" s="112">
        <f aca="true" t="shared" si="1" ref="C24:J24">SUM(C5:C23)</f>
        <v>1230412.6</v>
      </c>
      <c r="D24" s="112">
        <f t="shared" si="1"/>
        <v>426780.24000000005</v>
      </c>
      <c r="E24" s="112">
        <f t="shared" si="1"/>
        <v>1657192.84</v>
      </c>
      <c r="F24" s="112">
        <f t="shared" si="1"/>
        <v>1323698</v>
      </c>
      <c r="G24" s="112">
        <f t="shared" si="1"/>
        <v>996733.01</v>
      </c>
      <c r="H24" s="112">
        <f t="shared" si="1"/>
        <v>434940.42999999993</v>
      </c>
      <c r="I24" s="112">
        <f t="shared" si="1"/>
        <v>1229964.92</v>
      </c>
      <c r="J24" s="112">
        <f t="shared" si="1"/>
        <v>1848000</v>
      </c>
      <c r="K24" s="1"/>
      <c r="L24" s="1"/>
      <c r="M24" s="1"/>
      <c r="N24" s="1"/>
      <c r="O24" s="1"/>
    </row>
    <row r="25" spans="1:15" ht="12.75">
      <c r="A25" s="201"/>
      <c r="B25" s="204"/>
      <c r="C25" s="204"/>
      <c r="D25" s="204"/>
      <c r="E25" s="204"/>
      <c r="F25" s="204"/>
      <c r="G25" s="204"/>
      <c r="H25" s="204"/>
      <c r="I25" s="204"/>
      <c r="J25" s="205"/>
      <c r="K25" s="1"/>
      <c r="L25" s="1"/>
      <c r="M25" s="1"/>
      <c r="N25" s="1"/>
      <c r="O25" s="1"/>
    </row>
    <row r="26" spans="1:15" ht="12.75">
      <c r="A26" s="243" t="s">
        <v>26</v>
      </c>
      <c r="B26" s="252"/>
      <c r="C26" s="206">
        <v>361</v>
      </c>
      <c r="D26" s="207"/>
      <c r="E26" s="207"/>
      <c r="F26" s="207"/>
      <c r="G26" s="207"/>
      <c r="H26" s="207"/>
      <c r="I26" s="207"/>
      <c r="J26" s="208"/>
      <c r="K26" s="1"/>
      <c r="L26" s="1"/>
      <c r="M26" s="1"/>
      <c r="N26" s="1"/>
      <c r="O26" s="1"/>
    </row>
    <row r="27" spans="1:15" ht="12.75">
      <c r="A27" s="243" t="s">
        <v>27</v>
      </c>
      <c r="B27" s="252"/>
      <c r="C27" s="209">
        <v>363</v>
      </c>
      <c r="D27" s="210"/>
      <c r="E27" s="210"/>
      <c r="F27" s="210"/>
      <c r="G27" s="210"/>
      <c r="H27" s="210"/>
      <c r="I27" s="210"/>
      <c r="J27" s="211"/>
      <c r="K27" s="1"/>
      <c r="L27" s="1"/>
      <c r="M27" s="1"/>
      <c r="N27" s="1"/>
      <c r="O27" s="1"/>
    </row>
    <row r="28" spans="1:15" ht="12.75">
      <c r="A28" s="114" t="s">
        <v>28</v>
      </c>
      <c r="B28" s="114"/>
      <c r="C28" s="201">
        <v>4235.15</v>
      </c>
      <c r="D28" s="204"/>
      <c r="E28" s="204"/>
      <c r="F28" s="204"/>
      <c r="G28" s="204"/>
      <c r="H28" s="204"/>
      <c r="I28" s="204"/>
      <c r="J28" s="205"/>
      <c r="K28" s="1"/>
      <c r="L28" s="1"/>
      <c r="M28" s="1"/>
      <c r="N28" s="1"/>
      <c r="O28" s="1"/>
    </row>
    <row r="29" spans="1:15" ht="12.75">
      <c r="A29" s="114" t="s">
        <v>29</v>
      </c>
      <c r="B29" s="114"/>
      <c r="C29" s="201">
        <v>4106.85</v>
      </c>
      <c r="D29" s="204"/>
      <c r="E29" s="204"/>
      <c r="F29" s="204"/>
      <c r="G29" s="204"/>
      <c r="H29" s="204"/>
      <c r="I29" s="204"/>
      <c r="J29" s="205"/>
      <c r="K29" s="1"/>
      <c r="L29" s="1"/>
      <c r="M29" s="1"/>
      <c r="N29" s="1"/>
      <c r="O29" s="1"/>
    </row>
    <row r="30" spans="1:15" ht="12.75">
      <c r="A30" s="245" t="str">
        <f>'[1]SP NR 1'!A30:B30</f>
        <v>koszt utrzymania 1 ucznia w 2004</v>
      </c>
      <c r="B30" s="244"/>
      <c r="C30" s="201">
        <f>(G24+I24+H24)/C27</f>
        <v>7332.337079889806</v>
      </c>
      <c r="D30" s="202"/>
      <c r="E30" s="202"/>
      <c r="F30" s="202"/>
      <c r="G30" s="202"/>
      <c r="H30" s="202"/>
      <c r="I30" s="202"/>
      <c r="J30" s="203"/>
      <c r="K30" s="1"/>
      <c r="L30" s="1"/>
      <c r="M30" s="1"/>
      <c r="N30" s="1"/>
      <c r="O30" s="1"/>
    </row>
    <row r="31" spans="1:10" ht="12.75">
      <c r="A31" s="245" t="str">
        <f>'[1]SP NR 1'!A31:B31</f>
        <v>koszt utrzymania 1 ucznia w 2005</v>
      </c>
      <c r="B31" s="244"/>
      <c r="C31" s="224">
        <f>J24/C37</f>
        <v>5090.909090909091</v>
      </c>
      <c r="D31" s="222"/>
      <c r="E31" s="222"/>
      <c r="F31" s="222"/>
      <c r="G31" s="222"/>
      <c r="H31" s="222"/>
      <c r="I31" s="222"/>
      <c r="J31" s="223"/>
    </row>
    <row r="32" spans="1:10" ht="12.75">
      <c r="A32" s="243" t="s">
        <v>30</v>
      </c>
      <c r="B32" s="252"/>
      <c r="C32" s="201">
        <v>1533124.3</v>
      </c>
      <c r="D32" s="204"/>
      <c r="E32" s="204"/>
      <c r="F32" s="204"/>
      <c r="G32" s="204"/>
      <c r="H32" s="204"/>
      <c r="I32" s="204"/>
      <c r="J32" s="205"/>
    </row>
    <row r="33" spans="1:10" ht="12.75">
      <c r="A33" s="243" t="s">
        <v>31</v>
      </c>
      <c r="B33" s="252"/>
      <c r="C33" s="201">
        <v>1490786.55</v>
      </c>
      <c r="D33" s="204"/>
      <c r="E33" s="204"/>
      <c r="F33" s="204"/>
      <c r="G33" s="204"/>
      <c r="H33" s="204"/>
      <c r="I33" s="204"/>
      <c r="J33" s="205"/>
    </row>
    <row r="34" spans="1:10" ht="12.75">
      <c r="A34" s="114" t="s">
        <v>32</v>
      </c>
      <c r="B34" s="114"/>
      <c r="C34" s="201">
        <v>315924.64</v>
      </c>
      <c r="D34" s="204"/>
      <c r="E34" s="204"/>
      <c r="F34" s="204"/>
      <c r="G34" s="204"/>
      <c r="H34" s="204"/>
      <c r="I34" s="204"/>
      <c r="J34" s="205"/>
    </row>
    <row r="35" spans="1:10" ht="12.75">
      <c r="A35" s="114" t="s">
        <v>33</v>
      </c>
      <c r="B35" s="114"/>
      <c r="C35" s="201">
        <f>J24-C33</f>
        <v>357213.44999999995</v>
      </c>
      <c r="D35" s="204"/>
      <c r="E35" s="204"/>
      <c r="F35" s="204"/>
      <c r="G35" s="204"/>
      <c r="H35" s="204"/>
      <c r="I35" s="204"/>
      <c r="J35" s="205"/>
    </row>
    <row r="36" spans="1:10" ht="12.75">
      <c r="A36" s="254" t="s">
        <v>361</v>
      </c>
      <c r="B36" s="254"/>
      <c r="C36" s="255">
        <v>362</v>
      </c>
      <c r="D36" s="255"/>
      <c r="E36" s="255"/>
      <c r="F36" s="255"/>
      <c r="G36" s="255"/>
      <c r="H36" s="255"/>
      <c r="I36" s="255"/>
      <c r="J36" s="256"/>
    </row>
    <row r="37" spans="1:10" ht="12.75">
      <c r="A37" s="257" t="s">
        <v>365</v>
      </c>
      <c r="B37" s="258"/>
      <c r="C37" s="255">
        <v>363</v>
      </c>
      <c r="D37" s="255"/>
      <c r="E37" s="255"/>
      <c r="F37" s="255"/>
      <c r="G37" s="255"/>
      <c r="H37" s="255"/>
      <c r="I37" s="255"/>
      <c r="J37" s="256"/>
    </row>
  </sheetData>
  <mergeCells count="22">
    <mergeCell ref="A36:B36"/>
    <mergeCell ref="C36:J36"/>
    <mergeCell ref="A37:B37"/>
    <mergeCell ref="C37:J37"/>
    <mergeCell ref="A33:B33"/>
    <mergeCell ref="C33:J33"/>
    <mergeCell ref="C34:J34"/>
    <mergeCell ref="C35:J35"/>
    <mergeCell ref="A31:B31"/>
    <mergeCell ref="C31:J31"/>
    <mergeCell ref="A32:B32"/>
    <mergeCell ref="C32:J32"/>
    <mergeCell ref="A24:B24"/>
    <mergeCell ref="A25:J25"/>
    <mergeCell ref="A30:B30"/>
    <mergeCell ref="C30:J30"/>
    <mergeCell ref="C28:J28"/>
    <mergeCell ref="C29:J29"/>
    <mergeCell ref="A26:B26"/>
    <mergeCell ref="A27:B27"/>
    <mergeCell ref="C26:J26"/>
    <mergeCell ref="C27:J27"/>
  </mergeCells>
  <printOptions/>
  <pageMargins left="0.75" right="0.75" top="1" bottom="1" header="0.5" footer="0.5"/>
  <pageSetup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I5" sqref="I5:I21"/>
    </sheetView>
  </sheetViews>
  <sheetFormatPr defaultColWidth="9.00390625" defaultRowHeight="12.75"/>
  <cols>
    <col min="1" max="1" width="7.375" style="0" customWidth="1"/>
    <col min="2" max="2" width="29.625" style="0" customWidth="1"/>
    <col min="3" max="3" width="10.375" style="0" customWidth="1"/>
    <col min="4" max="4" width="9.75390625" style="0" customWidth="1"/>
    <col min="5" max="5" width="11.00390625" style="0" customWidth="1"/>
    <col min="7" max="7" width="9.75390625" style="0" customWidth="1"/>
    <col min="8" max="8" width="9.625" style="0" customWidth="1"/>
    <col min="9" max="9" width="10.75390625" style="0" customWidth="1"/>
    <col min="10" max="10" width="10.375" style="0" customWidth="1"/>
  </cols>
  <sheetData>
    <row r="1" spans="1:10" ht="12.75">
      <c r="A1" s="8" t="s">
        <v>374</v>
      </c>
      <c r="B1" s="8"/>
      <c r="C1" s="8"/>
      <c r="D1" s="8"/>
      <c r="E1" s="8"/>
      <c r="F1" s="8"/>
      <c r="G1" s="8"/>
      <c r="H1" s="8"/>
      <c r="I1" s="8"/>
      <c r="J1" s="1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1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1"/>
    </row>
    <row r="4" spans="1:10" ht="54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</row>
    <row r="5" spans="1:10" ht="24.75" customHeight="1">
      <c r="A5" s="3">
        <v>3020</v>
      </c>
      <c r="B5" s="2" t="s">
        <v>9</v>
      </c>
      <c r="C5" s="110">
        <v>28</v>
      </c>
      <c r="D5" s="110"/>
      <c r="E5" s="111">
        <f aca="true" t="shared" si="0" ref="E5:E21">SUM(C5:D5)</f>
        <v>28</v>
      </c>
      <c r="F5" s="110">
        <v>0</v>
      </c>
      <c r="G5" s="110">
        <v>0</v>
      </c>
      <c r="H5" s="110">
        <v>0</v>
      </c>
      <c r="I5" s="7">
        <v>0</v>
      </c>
      <c r="J5" s="110">
        <v>0</v>
      </c>
    </row>
    <row r="6" spans="1:10" ht="26.25" customHeight="1">
      <c r="A6" s="3">
        <v>4010</v>
      </c>
      <c r="B6" s="2" t="s">
        <v>10</v>
      </c>
      <c r="C6" s="110">
        <v>24283.44</v>
      </c>
      <c r="D6" s="110">
        <v>6657.52</v>
      </c>
      <c r="E6" s="111">
        <f t="shared" si="0"/>
        <v>30940.96</v>
      </c>
      <c r="F6" s="110">
        <v>4171</v>
      </c>
      <c r="G6" s="110" t="s">
        <v>366</v>
      </c>
      <c r="H6" s="110">
        <v>0</v>
      </c>
      <c r="I6" s="7" t="s">
        <v>367</v>
      </c>
      <c r="J6" s="110">
        <v>0</v>
      </c>
    </row>
    <row r="7" spans="1:10" ht="17.25" customHeight="1">
      <c r="A7" s="3">
        <v>4040</v>
      </c>
      <c r="B7" s="2" t="s">
        <v>11</v>
      </c>
      <c r="C7" s="110">
        <v>1721.64</v>
      </c>
      <c r="D7" s="110">
        <v>1029.12</v>
      </c>
      <c r="E7" s="111">
        <f t="shared" si="0"/>
        <v>2750.76</v>
      </c>
      <c r="F7" s="110">
        <v>1029.12</v>
      </c>
      <c r="G7" s="110">
        <v>1029.12</v>
      </c>
      <c r="H7" s="110">
        <v>0</v>
      </c>
      <c r="I7" s="116">
        <v>1029.12</v>
      </c>
      <c r="J7" s="110">
        <v>0</v>
      </c>
    </row>
    <row r="8" spans="1:10" ht="18" customHeight="1">
      <c r="A8" s="3">
        <v>4110</v>
      </c>
      <c r="B8" s="2" t="s">
        <v>12</v>
      </c>
      <c r="C8" s="110">
        <v>4242.23</v>
      </c>
      <c r="D8" s="110">
        <v>3196.47</v>
      </c>
      <c r="E8" s="111">
        <f t="shared" si="0"/>
        <v>7438.699999999999</v>
      </c>
      <c r="F8" s="110">
        <v>3196.47</v>
      </c>
      <c r="G8" s="110">
        <v>3196.47</v>
      </c>
      <c r="H8" s="110">
        <v>0</v>
      </c>
      <c r="I8" s="116">
        <v>3196.47</v>
      </c>
      <c r="J8" s="110">
        <v>0</v>
      </c>
    </row>
    <row r="9" spans="1:10" ht="20.25" customHeight="1">
      <c r="A9" s="3">
        <v>4120</v>
      </c>
      <c r="B9" s="2" t="s">
        <v>13</v>
      </c>
      <c r="C9" s="110">
        <v>638.5</v>
      </c>
      <c r="D9" s="110">
        <v>476.76</v>
      </c>
      <c r="E9" s="111">
        <f t="shared" si="0"/>
        <v>1115.26</v>
      </c>
      <c r="F9" s="110">
        <v>476.76</v>
      </c>
      <c r="G9" s="110">
        <v>476.76</v>
      </c>
      <c r="H9" s="110">
        <v>0</v>
      </c>
      <c r="I9" s="7">
        <v>476.76</v>
      </c>
      <c r="J9" s="110">
        <v>0</v>
      </c>
    </row>
    <row r="10" spans="1:10" ht="18" customHeight="1">
      <c r="A10" s="3">
        <v>4210</v>
      </c>
      <c r="B10" s="2" t="s">
        <v>14</v>
      </c>
      <c r="C10" s="110">
        <v>25650.39</v>
      </c>
      <c r="D10" s="110">
        <v>0</v>
      </c>
      <c r="E10" s="111">
        <f t="shared" si="0"/>
        <v>25650.39</v>
      </c>
      <c r="F10" s="110">
        <v>0</v>
      </c>
      <c r="G10" s="110">
        <v>0</v>
      </c>
      <c r="H10" s="110">
        <v>5723.28</v>
      </c>
      <c r="I10" s="116">
        <v>5723.28</v>
      </c>
      <c r="J10" s="110">
        <v>0</v>
      </c>
    </row>
    <row r="11" spans="1:10" ht="26.25" customHeight="1">
      <c r="A11" s="3">
        <v>4240</v>
      </c>
      <c r="B11" s="2" t="s">
        <v>15</v>
      </c>
      <c r="C11" s="110">
        <v>0</v>
      </c>
      <c r="D11" s="110">
        <v>0</v>
      </c>
      <c r="E11" s="111">
        <f t="shared" si="0"/>
        <v>0</v>
      </c>
      <c r="F11" s="110">
        <v>0</v>
      </c>
      <c r="G11" s="110">
        <v>0</v>
      </c>
      <c r="H11" s="110">
        <v>0</v>
      </c>
      <c r="I11" s="7">
        <v>0</v>
      </c>
      <c r="J11" s="110">
        <v>0</v>
      </c>
    </row>
    <row r="12" spans="1:10" ht="15.75" customHeight="1">
      <c r="A12" s="3">
        <v>4260</v>
      </c>
      <c r="B12" s="2" t="s">
        <v>16</v>
      </c>
      <c r="C12" s="110">
        <v>0</v>
      </c>
      <c r="D12" s="110">
        <v>0</v>
      </c>
      <c r="E12" s="111">
        <f t="shared" si="0"/>
        <v>0</v>
      </c>
      <c r="F12" s="110">
        <v>0</v>
      </c>
      <c r="G12" s="110">
        <v>0</v>
      </c>
      <c r="H12" s="110">
        <v>0</v>
      </c>
      <c r="I12" s="7">
        <v>0</v>
      </c>
      <c r="J12" s="110">
        <v>0</v>
      </c>
    </row>
    <row r="13" spans="1:10" ht="17.25" customHeight="1">
      <c r="A13" s="3">
        <v>4270</v>
      </c>
      <c r="B13" s="2" t="s">
        <v>17</v>
      </c>
      <c r="C13" s="110">
        <v>0</v>
      </c>
      <c r="D13" s="110">
        <v>0</v>
      </c>
      <c r="E13" s="111">
        <f t="shared" si="0"/>
        <v>0</v>
      </c>
      <c r="F13" s="110">
        <v>0</v>
      </c>
      <c r="G13" s="110">
        <v>0</v>
      </c>
      <c r="H13" s="110">
        <v>0</v>
      </c>
      <c r="I13" s="7">
        <v>0</v>
      </c>
      <c r="J13" s="110">
        <v>0</v>
      </c>
    </row>
    <row r="14" spans="1:10" ht="16.5" customHeight="1">
      <c r="A14" s="3">
        <v>4280</v>
      </c>
      <c r="B14" s="2" t="s">
        <v>18</v>
      </c>
      <c r="C14" s="110">
        <v>0</v>
      </c>
      <c r="D14" s="110">
        <v>0</v>
      </c>
      <c r="E14" s="111">
        <f t="shared" si="0"/>
        <v>0</v>
      </c>
      <c r="F14" s="110">
        <v>0</v>
      </c>
      <c r="G14" s="110">
        <v>0</v>
      </c>
      <c r="H14" s="110">
        <v>0</v>
      </c>
      <c r="I14" s="7">
        <v>0</v>
      </c>
      <c r="J14" s="110">
        <v>0</v>
      </c>
    </row>
    <row r="15" spans="1:10" ht="18.75" customHeight="1">
      <c r="A15" s="3">
        <v>4300</v>
      </c>
      <c r="B15" s="2" t="s">
        <v>19</v>
      </c>
      <c r="C15" s="110">
        <v>44664.6</v>
      </c>
      <c r="D15" s="110">
        <v>1230.96</v>
      </c>
      <c r="E15" s="111">
        <f t="shared" si="0"/>
        <v>45895.56</v>
      </c>
      <c r="F15" s="110">
        <v>89326.65</v>
      </c>
      <c r="G15" s="110">
        <v>59943.56</v>
      </c>
      <c r="H15" s="110">
        <v>12263.22</v>
      </c>
      <c r="I15" s="116">
        <v>83500</v>
      </c>
      <c r="J15" s="110">
        <v>122500</v>
      </c>
    </row>
    <row r="16" spans="1:10" ht="20.25" customHeight="1">
      <c r="A16" s="3">
        <v>4410</v>
      </c>
      <c r="B16" s="2" t="s">
        <v>20</v>
      </c>
      <c r="C16" s="110">
        <v>0</v>
      </c>
      <c r="D16" s="110">
        <v>0</v>
      </c>
      <c r="E16" s="111">
        <f t="shared" si="0"/>
        <v>0</v>
      </c>
      <c r="F16" s="110">
        <v>0</v>
      </c>
      <c r="G16" s="110">
        <v>0</v>
      </c>
      <c r="H16" s="110">
        <v>0</v>
      </c>
      <c r="I16" s="7">
        <v>0</v>
      </c>
      <c r="J16" s="110">
        <v>0</v>
      </c>
    </row>
    <row r="17" spans="1:10" ht="18" customHeight="1">
      <c r="A17" s="3">
        <v>4430</v>
      </c>
      <c r="B17" s="2" t="s">
        <v>362</v>
      </c>
      <c r="C17" s="110">
        <v>0</v>
      </c>
      <c r="D17" s="110">
        <v>0</v>
      </c>
      <c r="E17" s="111">
        <f t="shared" si="0"/>
        <v>0</v>
      </c>
      <c r="F17" s="110">
        <v>1438</v>
      </c>
      <c r="G17" s="110">
        <v>1438</v>
      </c>
      <c r="H17" s="110">
        <v>0</v>
      </c>
      <c r="I17" s="116">
        <v>1438</v>
      </c>
      <c r="J17" s="110">
        <v>1500</v>
      </c>
    </row>
    <row r="18" spans="1:10" ht="12.75">
      <c r="A18" s="3">
        <v>4580</v>
      </c>
      <c r="B18" s="2" t="s">
        <v>354</v>
      </c>
      <c r="C18" s="110">
        <v>918.33</v>
      </c>
      <c r="D18" s="110">
        <v>0</v>
      </c>
      <c r="E18" s="111">
        <v>918.33</v>
      </c>
      <c r="F18" s="110">
        <v>0</v>
      </c>
      <c r="G18" s="110">
        <v>6730</v>
      </c>
      <c r="H18" s="110">
        <v>0</v>
      </c>
      <c r="I18" s="116">
        <v>6730</v>
      </c>
      <c r="J18" s="110">
        <v>0</v>
      </c>
    </row>
    <row r="19" spans="1:10" ht="25.5" customHeight="1">
      <c r="A19" s="3">
        <v>4440</v>
      </c>
      <c r="B19" s="2" t="s">
        <v>21</v>
      </c>
      <c r="C19" s="110">
        <v>394.66</v>
      </c>
      <c r="D19" s="110">
        <v>0</v>
      </c>
      <c r="E19" s="111">
        <f t="shared" si="0"/>
        <v>394.66</v>
      </c>
      <c r="F19" s="110">
        <v>0</v>
      </c>
      <c r="G19" s="110">
        <v>0</v>
      </c>
      <c r="H19" s="110">
        <v>0</v>
      </c>
      <c r="I19" s="7">
        <v>0</v>
      </c>
      <c r="J19" s="110">
        <v>0</v>
      </c>
    </row>
    <row r="20" spans="1:10" ht="25.5" customHeight="1">
      <c r="A20" s="3">
        <v>6050</v>
      </c>
      <c r="B20" s="2" t="s">
        <v>23</v>
      </c>
      <c r="C20" s="110">
        <v>0</v>
      </c>
      <c r="D20" s="110">
        <v>0</v>
      </c>
      <c r="E20" s="111">
        <f t="shared" si="0"/>
        <v>0</v>
      </c>
      <c r="F20" s="110">
        <v>0</v>
      </c>
      <c r="G20" s="110">
        <v>0</v>
      </c>
      <c r="H20" s="110"/>
      <c r="I20" s="7">
        <v>0</v>
      </c>
      <c r="J20" s="110">
        <v>0</v>
      </c>
    </row>
    <row r="21" spans="1:10" ht="24.75" customHeight="1">
      <c r="A21" s="3">
        <v>6060</v>
      </c>
      <c r="B21" s="2" t="s">
        <v>22</v>
      </c>
      <c r="C21" s="110">
        <v>0</v>
      </c>
      <c r="D21" s="110">
        <v>0</v>
      </c>
      <c r="E21" s="111">
        <f t="shared" si="0"/>
        <v>0</v>
      </c>
      <c r="F21" s="110">
        <v>0</v>
      </c>
      <c r="G21" s="110">
        <v>0</v>
      </c>
      <c r="H21" s="110">
        <v>0</v>
      </c>
      <c r="I21" s="7">
        <v>0</v>
      </c>
      <c r="J21" s="110">
        <v>0</v>
      </c>
    </row>
    <row r="22" spans="1:10" ht="12.75">
      <c r="A22" s="196" t="s">
        <v>34</v>
      </c>
      <c r="B22" s="197"/>
      <c r="C22" s="112">
        <f aca="true" t="shared" si="1" ref="C22:J22">SUM(C5:C21)</f>
        <v>102541.79</v>
      </c>
      <c r="D22" s="112">
        <f t="shared" si="1"/>
        <v>12590.830000000002</v>
      </c>
      <c r="E22" s="112">
        <f t="shared" si="1"/>
        <v>115132.62000000001</v>
      </c>
      <c r="F22" s="112">
        <f t="shared" si="1"/>
        <v>99638</v>
      </c>
      <c r="G22" s="112">
        <f t="shared" si="1"/>
        <v>72813.91</v>
      </c>
      <c r="H22" s="112">
        <f t="shared" si="1"/>
        <v>17986.5</v>
      </c>
      <c r="I22" s="112">
        <f t="shared" si="1"/>
        <v>102093.63</v>
      </c>
      <c r="J22" s="112">
        <f t="shared" si="1"/>
        <v>124000</v>
      </c>
    </row>
  </sheetData>
  <mergeCells count="1">
    <mergeCell ref="A22:B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I10" sqref="I10"/>
    </sheetView>
  </sheetViews>
  <sheetFormatPr defaultColWidth="9.00390625" defaultRowHeight="12.75"/>
  <cols>
    <col min="1" max="1" width="8.125" style="0" customWidth="1"/>
    <col min="2" max="2" width="31.125" style="0" customWidth="1"/>
    <col min="3" max="3" width="9.75390625" style="0" customWidth="1"/>
    <col min="4" max="4" width="10.125" style="0" customWidth="1"/>
    <col min="5" max="5" width="11.625" style="0" customWidth="1"/>
    <col min="6" max="6" width="10.75390625" style="0" customWidth="1"/>
    <col min="7" max="7" width="11.125" style="0" customWidth="1"/>
    <col min="8" max="8" width="10.625" style="0" customWidth="1"/>
    <col min="9" max="9" width="10.75390625" style="0" customWidth="1"/>
    <col min="10" max="10" width="11.00390625" style="0" customWidth="1"/>
  </cols>
  <sheetData>
    <row r="1" spans="1:10" ht="12.75">
      <c r="A1" s="8"/>
      <c r="B1" s="8" t="s">
        <v>368</v>
      </c>
      <c r="C1" s="8"/>
      <c r="D1" s="8"/>
      <c r="E1" s="8"/>
      <c r="F1" s="8"/>
      <c r="G1" s="8"/>
      <c r="H1" s="8"/>
      <c r="I1" s="8"/>
      <c r="J1" s="1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1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1"/>
    </row>
    <row r="4" spans="1:10" ht="54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</row>
    <row r="5" spans="1:10" ht="27.75" customHeight="1">
      <c r="A5" s="3">
        <v>3020</v>
      </c>
      <c r="B5" s="2" t="s">
        <v>9</v>
      </c>
      <c r="C5" s="110">
        <v>284</v>
      </c>
      <c r="D5" s="110"/>
      <c r="E5" s="111">
        <f aca="true" t="shared" si="0" ref="E5:E23">SUM(C5:D5)</f>
        <v>284</v>
      </c>
      <c r="F5" s="110">
        <v>600</v>
      </c>
      <c r="G5" s="110">
        <v>204</v>
      </c>
      <c r="H5" s="110">
        <v>0</v>
      </c>
      <c r="I5" s="7">
        <v>400</v>
      </c>
      <c r="J5" s="110">
        <v>500</v>
      </c>
    </row>
    <row r="6" spans="1:10" ht="18" customHeight="1">
      <c r="A6" s="3">
        <v>4010</v>
      </c>
      <c r="B6" s="2" t="s">
        <v>10</v>
      </c>
      <c r="C6" s="110">
        <v>219902.9</v>
      </c>
      <c r="D6" s="110">
        <v>65632.29</v>
      </c>
      <c r="E6" s="111">
        <f t="shared" si="0"/>
        <v>285535.19</v>
      </c>
      <c r="F6" s="110">
        <v>295852</v>
      </c>
      <c r="G6" s="110">
        <v>246260.53</v>
      </c>
      <c r="H6" s="110">
        <v>57429.6</v>
      </c>
      <c r="I6" s="116">
        <v>33337.52</v>
      </c>
      <c r="J6" s="110">
        <v>275000</v>
      </c>
    </row>
    <row r="7" spans="1:10" ht="22.5" customHeight="1">
      <c r="A7" s="3">
        <v>4040</v>
      </c>
      <c r="B7" s="2" t="s">
        <v>11</v>
      </c>
      <c r="C7" s="110">
        <v>18288.45</v>
      </c>
      <c r="D7" s="110">
        <v>19556.68</v>
      </c>
      <c r="E7" s="111">
        <f t="shared" si="0"/>
        <v>37845.130000000005</v>
      </c>
      <c r="F7" s="110">
        <v>19556.68</v>
      </c>
      <c r="G7" s="110">
        <v>19556.68</v>
      </c>
      <c r="H7" s="110">
        <v>0</v>
      </c>
      <c r="I7" s="116">
        <v>19556.68</v>
      </c>
      <c r="J7" s="110">
        <v>20000</v>
      </c>
    </row>
    <row r="8" spans="1:10" ht="21" customHeight="1">
      <c r="A8" s="3">
        <v>4110</v>
      </c>
      <c r="B8" s="2" t="s">
        <v>12</v>
      </c>
      <c r="C8" s="110">
        <v>57576.3</v>
      </c>
      <c r="D8" s="110">
        <v>38266.39</v>
      </c>
      <c r="E8" s="111">
        <f t="shared" si="0"/>
        <v>95842.69</v>
      </c>
      <c r="F8" s="110">
        <v>68180</v>
      </c>
      <c r="G8" s="110">
        <v>42338.18</v>
      </c>
      <c r="H8" s="110">
        <v>6393.64</v>
      </c>
      <c r="I8" s="116">
        <v>5820.72</v>
      </c>
      <c r="J8" s="110">
        <v>58000</v>
      </c>
    </row>
    <row r="9" spans="1:10" ht="19.5" customHeight="1">
      <c r="A9" s="3">
        <v>4120</v>
      </c>
      <c r="B9" s="2" t="s">
        <v>13</v>
      </c>
      <c r="C9" s="110" t="s">
        <v>369</v>
      </c>
      <c r="D9" s="110">
        <v>6427.35</v>
      </c>
      <c r="E9" s="111">
        <f t="shared" si="0"/>
        <v>6427.35</v>
      </c>
      <c r="F9" s="110">
        <v>10100</v>
      </c>
      <c r="G9" s="110">
        <v>9301.79</v>
      </c>
      <c r="H9" s="110">
        <v>1130.88</v>
      </c>
      <c r="I9" s="7">
        <v>816.78</v>
      </c>
      <c r="J9" s="110">
        <v>9000</v>
      </c>
    </row>
    <row r="10" spans="1:10" ht="18" customHeight="1">
      <c r="A10" s="3">
        <v>4210</v>
      </c>
      <c r="B10" s="2" t="s">
        <v>14</v>
      </c>
      <c r="C10" s="110">
        <v>18730.78</v>
      </c>
      <c r="D10" s="110">
        <v>624.26</v>
      </c>
      <c r="E10" s="111">
        <f t="shared" si="0"/>
        <v>19355.039999999997</v>
      </c>
      <c r="F10" s="110">
        <v>5800</v>
      </c>
      <c r="G10" s="110">
        <v>8972.89</v>
      </c>
      <c r="H10" s="110">
        <v>3959.07</v>
      </c>
      <c r="I10" s="116">
        <v>12913</v>
      </c>
      <c r="J10" s="110">
        <v>10000</v>
      </c>
    </row>
    <row r="11" spans="1:10" ht="27" customHeight="1">
      <c r="A11" s="3">
        <v>4240</v>
      </c>
      <c r="B11" s="2" t="s">
        <v>15</v>
      </c>
      <c r="C11" s="110">
        <v>0</v>
      </c>
      <c r="D11" s="110">
        <v>0</v>
      </c>
      <c r="E11" s="111">
        <f t="shared" si="0"/>
        <v>0</v>
      </c>
      <c r="F11" s="110">
        <v>0</v>
      </c>
      <c r="G11" s="110">
        <v>0</v>
      </c>
      <c r="H11" s="110">
        <v>0</v>
      </c>
      <c r="I11" s="7">
        <v>0</v>
      </c>
      <c r="J11" s="110">
        <v>0</v>
      </c>
    </row>
    <row r="12" spans="1:10" ht="17.25" customHeight="1">
      <c r="A12" s="3">
        <v>4260</v>
      </c>
      <c r="B12" s="2" t="s">
        <v>16</v>
      </c>
      <c r="C12" s="110">
        <v>69294.67</v>
      </c>
      <c r="D12" s="110">
        <v>10555.96</v>
      </c>
      <c r="E12" s="111">
        <f t="shared" si="0"/>
        <v>79850.63</v>
      </c>
      <c r="F12" s="110">
        <v>29000</v>
      </c>
      <c r="G12" s="110">
        <v>32021.04</v>
      </c>
      <c r="H12" s="110">
        <v>0</v>
      </c>
      <c r="I12" s="116">
        <v>32021.04</v>
      </c>
      <c r="J12" s="110">
        <v>0</v>
      </c>
    </row>
    <row r="13" spans="1:10" ht="21" customHeight="1">
      <c r="A13" s="3">
        <v>4270</v>
      </c>
      <c r="B13" s="2" t="s">
        <v>17</v>
      </c>
      <c r="C13" s="110">
        <v>80</v>
      </c>
      <c r="D13" s="110">
        <v>0</v>
      </c>
      <c r="E13" s="111">
        <f t="shared" si="0"/>
        <v>80</v>
      </c>
      <c r="F13" s="110">
        <v>0</v>
      </c>
      <c r="G13" s="110">
        <v>0</v>
      </c>
      <c r="H13" s="110">
        <v>0</v>
      </c>
      <c r="I13" s="7">
        <v>0</v>
      </c>
      <c r="J13" s="110">
        <v>900</v>
      </c>
    </row>
    <row r="14" spans="1:10" ht="21.75" customHeight="1">
      <c r="A14" s="3">
        <v>4280</v>
      </c>
      <c r="B14" s="2" t="s">
        <v>18</v>
      </c>
      <c r="C14" s="110">
        <v>0</v>
      </c>
      <c r="D14" s="110">
        <v>0</v>
      </c>
      <c r="E14" s="111">
        <f t="shared" si="0"/>
        <v>0</v>
      </c>
      <c r="F14" s="110">
        <v>0</v>
      </c>
      <c r="G14" s="110">
        <v>0</v>
      </c>
      <c r="H14" s="110">
        <v>0</v>
      </c>
      <c r="I14" s="7">
        <v>0</v>
      </c>
      <c r="J14" s="110">
        <v>0</v>
      </c>
    </row>
    <row r="15" spans="1:10" ht="19.5" customHeight="1">
      <c r="A15" s="3">
        <v>4300</v>
      </c>
      <c r="B15" s="2" t="s">
        <v>19</v>
      </c>
      <c r="C15" s="110">
        <v>50362.73</v>
      </c>
      <c r="D15" s="110" t="s">
        <v>370</v>
      </c>
      <c r="E15" s="111">
        <f t="shared" si="0"/>
        <v>50362.73</v>
      </c>
      <c r="F15" s="110">
        <v>28198.32</v>
      </c>
      <c r="G15" s="110">
        <v>30771.33</v>
      </c>
      <c r="H15" s="110">
        <v>0</v>
      </c>
      <c r="I15" s="116">
        <v>33166.92</v>
      </c>
      <c r="J15" s="110">
        <v>4950</v>
      </c>
    </row>
    <row r="16" spans="1:10" ht="19.5" customHeight="1">
      <c r="A16" s="3">
        <v>4410</v>
      </c>
      <c r="B16" s="2" t="s">
        <v>20</v>
      </c>
      <c r="C16" s="110">
        <v>3952.45</v>
      </c>
      <c r="D16" s="110">
        <v>0</v>
      </c>
      <c r="E16" s="111">
        <f t="shared" si="0"/>
        <v>3952.45</v>
      </c>
      <c r="F16" s="110">
        <v>1345</v>
      </c>
      <c r="G16" s="110">
        <v>2507.86</v>
      </c>
      <c r="H16" s="110">
        <v>0</v>
      </c>
      <c r="I16" s="116">
        <v>3000</v>
      </c>
      <c r="J16" s="110">
        <v>3800</v>
      </c>
    </row>
    <row r="17" spans="1:10" ht="20.25" customHeight="1">
      <c r="A17" s="3">
        <v>4430</v>
      </c>
      <c r="B17" s="2" t="s">
        <v>362</v>
      </c>
      <c r="C17" s="110">
        <v>1781</v>
      </c>
      <c r="D17" s="110">
        <v>0</v>
      </c>
      <c r="E17" s="111">
        <f t="shared" si="0"/>
        <v>1781</v>
      </c>
      <c r="F17" s="110">
        <v>0</v>
      </c>
      <c r="G17" s="110">
        <v>15</v>
      </c>
      <c r="H17" s="110">
        <v>0</v>
      </c>
      <c r="I17" s="7">
        <v>15</v>
      </c>
      <c r="J17" s="110">
        <v>1800</v>
      </c>
    </row>
    <row r="18" spans="1:10" ht="24" customHeight="1">
      <c r="A18" s="3">
        <v>4440</v>
      </c>
      <c r="B18" s="2" t="s">
        <v>21</v>
      </c>
      <c r="C18" s="110">
        <v>7780</v>
      </c>
      <c r="D18" s="110">
        <v>0</v>
      </c>
      <c r="E18" s="111">
        <f t="shared" si="0"/>
        <v>7780</v>
      </c>
      <c r="F18" s="110">
        <v>0</v>
      </c>
      <c r="G18" s="110">
        <v>0</v>
      </c>
      <c r="H18" s="110">
        <v>8000</v>
      </c>
      <c r="I18" s="7">
        <v>0</v>
      </c>
      <c r="J18" s="110">
        <v>0</v>
      </c>
    </row>
    <row r="19" spans="1:10" ht="17.25" customHeight="1">
      <c r="A19" s="3">
        <v>4510</v>
      </c>
      <c r="B19" s="2" t="s">
        <v>371</v>
      </c>
      <c r="C19" s="110">
        <v>57795.53</v>
      </c>
      <c r="D19" s="110">
        <v>0</v>
      </c>
      <c r="E19" s="111">
        <f t="shared" si="0"/>
        <v>57795.53</v>
      </c>
      <c r="F19" s="110">
        <v>0</v>
      </c>
      <c r="G19" s="110">
        <v>0</v>
      </c>
      <c r="H19" s="110">
        <v>0</v>
      </c>
      <c r="I19" s="116">
        <v>57795.53</v>
      </c>
      <c r="J19" s="110">
        <v>0</v>
      </c>
    </row>
    <row r="20" spans="1:10" ht="18" customHeight="1">
      <c r="A20" s="3">
        <v>4610</v>
      </c>
      <c r="B20" s="2" t="s">
        <v>355</v>
      </c>
      <c r="C20" s="110">
        <v>0</v>
      </c>
      <c r="D20" s="110">
        <v>0</v>
      </c>
      <c r="E20" s="111">
        <f t="shared" si="0"/>
        <v>0</v>
      </c>
      <c r="F20" s="110">
        <v>0</v>
      </c>
      <c r="G20" s="110">
        <v>59.96</v>
      </c>
      <c r="H20" s="110">
        <v>0</v>
      </c>
      <c r="I20" s="116">
        <v>68.76</v>
      </c>
      <c r="J20" s="110">
        <v>0</v>
      </c>
    </row>
    <row r="21" spans="1:10" ht="29.25" customHeight="1">
      <c r="A21" s="3">
        <v>6050</v>
      </c>
      <c r="B21" s="2" t="s">
        <v>23</v>
      </c>
      <c r="C21" s="110">
        <v>0</v>
      </c>
      <c r="D21" s="110">
        <v>0</v>
      </c>
      <c r="E21" s="111">
        <f t="shared" si="0"/>
        <v>0</v>
      </c>
      <c r="F21" s="110">
        <v>0</v>
      </c>
      <c r="G21" s="110">
        <v>0</v>
      </c>
      <c r="H21" s="110">
        <v>0</v>
      </c>
      <c r="I21" s="7">
        <v>0</v>
      </c>
      <c r="J21" s="110">
        <v>16050</v>
      </c>
    </row>
    <row r="22" spans="1:10" ht="12.75">
      <c r="A22" s="3">
        <v>4580</v>
      </c>
      <c r="B22" s="2" t="s">
        <v>354</v>
      </c>
      <c r="C22" s="110">
        <v>3763.9</v>
      </c>
      <c r="D22" s="110">
        <v>0</v>
      </c>
      <c r="E22" s="111">
        <f t="shared" si="0"/>
        <v>3763.9</v>
      </c>
      <c r="F22" s="110">
        <v>0</v>
      </c>
      <c r="G22" s="110">
        <v>84158.74</v>
      </c>
      <c r="H22" s="110">
        <v>603372.5</v>
      </c>
      <c r="I22" s="116">
        <v>84407.84</v>
      </c>
      <c r="J22" s="110">
        <v>0</v>
      </c>
    </row>
    <row r="23" spans="1:10" ht="27.75" customHeight="1">
      <c r="A23" s="3">
        <v>6060</v>
      </c>
      <c r="B23" s="2" t="s">
        <v>22</v>
      </c>
      <c r="C23" s="110">
        <v>0</v>
      </c>
      <c r="D23" s="110">
        <v>0</v>
      </c>
      <c r="E23" s="111">
        <f t="shared" si="0"/>
        <v>0</v>
      </c>
      <c r="F23" s="110">
        <v>0</v>
      </c>
      <c r="G23" s="110">
        <v>0</v>
      </c>
      <c r="H23" s="110">
        <v>0</v>
      </c>
      <c r="I23" s="7">
        <v>0</v>
      </c>
      <c r="J23" s="110">
        <v>0</v>
      </c>
    </row>
    <row r="24" spans="1:10" ht="12.75">
      <c r="A24" s="196" t="s">
        <v>34</v>
      </c>
      <c r="B24" s="197"/>
      <c r="C24" s="112">
        <f aca="true" t="shared" si="1" ref="C24:J24">SUM(C7:C23)</f>
        <v>289405.81000000006</v>
      </c>
      <c r="D24" s="112">
        <f t="shared" si="1"/>
        <v>75430.64</v>
      </c>
      <c r="E24" s="112">
        <f t="shared" si="1"/>
        <v>364836.45000000007</v>
      </c>
      <c r="F24" s="112">
        <f t="shared" si="1"/>
        <v>162180</v>
      </c>
      <c r="G24" s="112">
        <f t="shared" si="1"/>
        <v>229703.46999999997</v>
      </c>
      <c r="H24" s="112">
        <f t="shared" si="1"/>
        <v>622856.09</v>
      </c>
      <c r="I24" s="112">
        <f t="shared" si="1"/>
        <v>249582.27</v>
      </c>
      <c r="J24" s="112">
        <f t="shared" si="1"/>
        <v>124500</v>
      </c>
    </row>
  </sheetData>
  <mergeCells count="1">
    <mergeCell ref="A24:B2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I10" sqref="I10"/>
    </sheetView>
  </sheetViews>
  <sheetFormatPr defaultColWidth="9.00390625" defaultRowHeight="12.75"/>
  <cols>
    <col min="1" max="1" width="8.00390625" style="0" customWidth="1"/>
    <col min="2" max="2" width="31.25390625" style="0" customWidth="1"/>
    <col min="3" max="4" width="10.00390625" style="0" customWidth="1"/>
    <col min="5" max="5" width="11.25390625" style="0" customWidth="1"/>
    <col min="6" max="6" width="10.875" style="0" customWidth="1"/>
    <col min="7" max="7" width="10.25390625" style="0" customWidth="1"/>
    <col min="8" max="8" width="11.625" style="0" customWidth="1"/>
    <col min="9" max="9" width="10.875" style="0" customWidth="1"/>
    <col min="10" max="10" width="11.00390625" style="0" customWidth="1"/>
  </cols>
  <sheetData>
    <row r="1" spans="1:10" ht="12.75">
      <c r="A1" s="8" t="s">
        <v>0</v>
      </c>
      <c r="B1" s="8" t="s">
        <v>372</v>
      </c>
      <c r="C1" s="8"/>
      <c r="D1" s="8"/>
      <c r="E1" s="8"/>
      <c r="F1" s="8"/>
      <c r="G1" s="8"/>
      <c r="H1" s="8"/>
      <c r="I1" s="8"/>
      <c r="J1" s="1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1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1"/>
    </row>
    <row r="4" spans="1:10" ht="54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24</v>
      </c>
      <c r="J4" s="6" t="s">
        <v>25</v>
      </c>
    </row>
    <row r="5" spans="1:10" ht="26.25" customHeight="1">
      <c r="A5" s="3">
        <v>3020</v>
      </c>
      <c r="B5" s="2" t="s">
        <v>9</v>
      </c>
      <c r="C5" s="115">
        <v>2489.34</v>
      </c>
      <c r="D5" s="3">
        <v>123.42</v>
      </c>
      <c r="E5" s="7">
        <f aca="true" t="shared" si="0" ref="E5:E21">SUM(C5:D5)</f>
        <v>2612.76</v>
      </c>
      <c r="F5" s="115">
        <v>1295</v>
      </c>
      <c r="G5" s="115">
        <v>2144.21</v>
      </c>
      <c r="H5" s="3">
        <v>201.45</v>
      </c>
      <c r="I5" s="7">
        <v>423.2</v>
      </c>
      <c r="J5" s="115">
        <v>3100</v>
      </c>
    </row>
    <row r="6" spans="1:10" ht="18.75" customHeight="1">
      <c r="A6" s="3">
        <v>4010</v>
      </c>
      <c r="B6" s="2" t="s">
        <v>10</v>
      </c>
      <c r="C6" s="115">
        <v>25096.54</v>
      </c>
      <c r="D6" s="115">
        <v>6864</v>
      </c>
      <c r="E6" s="7">
        <f t="shared" si="0"/>
        <v>31960.54</v>
      </c>
      <c r="F6" s="115">
        <v>36550</v>
      </c>
      <c r="G6" s="115">
        <v>28888.02</v>
      </c>
      <c r="H6" s="115">
        <v>1790.44</v>
      </c>
      <c r="I6" s="116">
        <v>4089.38</v>
      </c>
      <c r="J6" s="115">
        <v>32000</v>
      </c>
    </row>
    <row r="7" spans="1:10" ht="18.75" customHeight="1">
      <c r="A7" s="3">
        <v>4040</v>
      </c>
      <c r="B7" s="2" t="s">
        <v>11</v>
      </c>
      <c r="C7" s="115">
        <v>2079.29</v>
      </c>
      <c r="D7" s="115">
        <v>2478.56</v>
      </c>
      <c r="E7" s="116">
        <f t="shared" si="0"/>
        <v>4557.85</v>
      </c>
      <c r="F7" s="115">
        <v>2478.56</v>
      </c>
      <c r="G7" s="115">
        <v>2478.56</v>
      </c>
      <c r="H7" s="115">
        <v>0</v>
      </c>
      <c r="I7" s="127" t="s">
        <v>404</v>
      </c>
      <c r="J7" s="115">
        <v>3000</v>
      </c>
    </row>
    <row r="8" spans="1:10" ht="18" customHeight="1">
      <c r="A8" s="3">
        <v>4110</v>
      </c>
      <c r="B8" s="2" t="s">
        <v>12</v>
      </c>
      <c r="C8" s="115">
        <v>5547.06</v>
      </c>
      <c r="D8" s="115">
        <v>1719.9</v>
      </c>
      <c r="E8" s="116">
        <f t="shared" si="0"/>
        <v>7266.960000000001</v>
      </c>
      <c r="F8" s="115">
        <v>6126.44</v>
      </c>
      <c r="G8" s="115">
        <v>5847.11</v>
      </c>
      <c r="H8" s="115">
        <v>156.52</v>
      </c>
      <c r="I8" s="7">
        <v>811.8</v>
      </c>
      <c r="J8" s="115">
        <v>9000</v>
      </c>
    </row>
    <row r="9" spans="1:10" ht="18.75" customHeight="1">
      <c r="A9" s="3">
        <v>4120</v>
      </c>
      <c r="B9" s="2" t="s">
        <v>13</v>
      </c>
      <c r="C9" s="115">
        <v>792.34</v>
      </c>
      <c r="D9" s="115">
        <v>864.28</v>
      </c>
      <c r="E9" s="116">
        <f t="shared" si="0"/>
        <v>1656.62</v>
      </c>
      <c r="F9" s="115">
        <v>1600</v>
      </c>
      <c r="G9" s="115">
        <v>1243.1</v>
      </c>
      <c r="H9" s="115">
        <v>173.98</v>
      </c>
      <c r="I9" s="7">
        <v>110.56</v>
      </c>
      <c r="J9" s="115">
        <v>1000</v>
      </c>
    </row>
    <row r="10" spans="1:10" ht="17.25" customHeight="1">
      <c r="A10" s="3">
        <v>4210</v>
      </c>
      <c r="B10" s="2" t="s">
        <v>14</v>
      </c>
      <c r="C10" s="115">
        <v>32.5</v>
      </c>
      <c r="D10" s="115">
        <v>0</v>
      </c>
      <c r="E10" s="116">
        <f t="shared" si="0"/>
        <v>32.5</v>
      </c>
      <c r="F10" s="115">
        <v>0</v>
      </c>
      <c r="G10" s="115">
        <v>0</v>
      </c>
      <c r="H10" s="115">
        <v>0</v>
      </c>
      <c r="I10" s="7">
        <v>0</v>
      </c>
      <c r="J10" s="115">
        <v>500</v>
      </c>
    </row>
    <row r="11" spans="1:10" ht="26.25" customHeight="1">
      <c r="A11" s="3">
        <v>4240</v>
      </c>
      <c r="B11" s="2" t="s">
        <v>15</v>
      </c>
      <c r="C11" s="115">
        <v>0</v>
      </c>
      <c r="D11" s="115">
        <v>0</v>
      </c>
      <c r="E11" s="116">
        <f t="shared" si="0"/>
        <v>0</v>
      </c>
      <c r="F11" s="115">
        <v>301</v>
      </c>
      <c r="G11" s="115">
        <v>300.55</v>
      </c>
      <c r="H11" s="115">
        <v>0</v>
      </c>
      <c r="I11" s="7">
        <v>300.55</v>
      </c>
      <c r="J11" s="115">
        <v>960</v>
      </c>
    </row>
    <row r="12" spans="1:10" ht="18" customHeight="1">
      <c r="A12" s="3">
        <v>4260</v>
      </c>
      <c r="B12" s="2" t="s">
        <v>16</v>
      </c>
      <c r="C12" s="115">
        <v>0</v>
      </c>
      <c r="D12" s="115">
        <v>0</v>
      </c>
      <c r="E12" s="116">
        <f t="shared" si="0"/>
        <v>0</v>
      </c>
      <c r="F12" s="115">
        <v>0</v>
      </c>
      <c r="G12" s="115">
        <v>0</v>
      </c>
      <c r="H12" s="115">
        <v>0</v>
      </c>
      <c r="I12" s="7">
        <v>0</v>
      </c>
      <c r="J12" s="115">
        <v>0</v>
      </c>
    </row>
    <row r="13" spans="1:10" ht="18" customHeight="1">
      <c r="A13" s="3">
        <v>4270</v>
      </c>
      <c r="B13" s="2" t="s">
        <v>17</v>
      </c>
      <c r="C13" s="115">
        <v>0</v>
      </c>
      <c r="D13" s="115">
        <v>0</v>
      </c>
      <c r="E13" s="116">
        <f t="shared" si="0"/>
        <v>0</v>
      </c>
      <c r="F13" s="115">
        <v>0</v>
      </c>
      <c r="G13" s="115">
        <v>0</v>
      </c>
      <c r="H13" s="115">
        <v>0</v>
      </c>
      <c r="I13" s="7">
        <v>0</v>
      </c>
      <c r="J13" s="115">
        <v>0</v>
      </c>
    </row>
    <row r="14" spans="1:10" ht="16.5" customHeight="1">
      <c r="A14" s="3">
        <v>4280</v>
      </c>
      <c r="B14" s="2" t="s">
        <v>18</v>
      </c>
      <c r="C14" s="115">
        <v>0</v>
      </c>
      <c r="D14" s="115">
        <v>0</v>
      </c>
      <c r="E14" s="116">
        <f t="shared" si="0"/>
        <v>0</v>
      </c>
      <c r="F14" s="115">
        <v>0</v>
      </c>
      <c r="G14" s="115">
        <v>0</v>
      </c>
      <c r="H14" s="115"/>
      <c r="I14" s="7">
        <v>0</v>
      </c>
      <c r="J14" s="115">
        <v>0</v>
      </c>
    </row>
    <row r="15" spans="1:10" ht="17.25" customHeight="1">
      <c r="A15" s="3">
        <v>4300</v>
      </c>
      <c r="B15" s="2" t="s">
        <v>19</v>
      </c>
      <c r="C15" s="115">
        <v>142.32</v>
      </c>
      <c r="D15" s="115">
        <v>0</v>
      </c>
      <c r="E15" s="116">
        <f t="shared" si="0"/>
        <v>142.32</v>
      </c>
      <c r="F15" s="115">
        <v>100</v>
      </c>
      <c r="G15" s="115">
        <v>91.18</v>
      </c>
      <c r="H15" s="115">
        <v>0</v>
      </c>
      <c r="I15" s="7">
        <v>100</v>
      </c>
      <c r="J15" s="115">
        <v>200</v>
      </c>
    </row>
    <row r="16" spans="1:10" ht="15" customHeight="1">
      <c r="A16" s="3">
        <v>4410</v>
      </c>
      <c r="B16" s="2" t="s">
        <v>20</v>
      </c>
      <c r="C16" s="115">
        <v>0</v>
      </c>
      <c r="D16" s="115">
        <v>0</v>
      </c>
      <c r="E16" s="116">
        <f t="shared" si="0"/>
        <v>0</v>
      </c>
      <c r="F16" s="115">
        <v>0</v>
      </c>
      <c r="G16" s="115">
        <v>0</v>
      </c>
      <c r="H16" s="115">
        <v>0</v>
      </c>
      <c r="I16" s="7">
        <v>0</v>
      </c>
      <c r="J16" s="115">
        <v>44</v>
      </c>
    </row>
    <row r="17" spans="1:10" ht="12.75">
      <c r="A17" s="3">
        <v>4580</v>
      </c>
      <c r="B17" s="2" t="s">
        <v>354</v>
      </c>
      <c r="C17" s="115">
        <v>280</v>
      </c>
      <c r="D17" s="115">
        <v>0</v>
      </c>
      <c r="E17" s="116">
        <v>280</v>
      </c>
      <c r="F17" s="115">
        <v>0</v>
      </c>
      <c r="G17" s="115">
        <v>7861</v>
      </c>
      <c r="H17" s="115">
        <v>0</v>
      </c>
      <c r="I17" s="116">
        <v>7861</v>
      </c>
      <c r="J17" s="115">
        <v>0</v>
      </c>
    </row>
    <row r="18" spans="1:10" ht="18.75" customHeight="1">
      <c r="A18" s="3">
        <v>4610</v>
      </c>
      <c r="B18" s="2" t="s">
        <v>355</v>
      </c>
      <c r="C18" s="115">
        <v>147.13</v>
      </c>
      <c r="D18" s="115">
        <v>0</v>
      </c>
      <c r="E18" s="116"/>
      <c r="F18" s="115"/>
      <c r="G18" s="115"/>
      <c r="H18" s="115"/>
      <c r="I18" s="116"/>
      <c r="J18" s="115"/>
    </row>
    <row r="19" spans="1:10" ht="24.75" customHeight="1">
      <c r="A19" s="3">
        <v>4440</v>
      </c>
      <c r="B19" s="2" t="s">
        <v>21</v>
      </c>
      <c r="C19" s="115">
        <v>1580</v>
      </c>
      <c r="D19" s="115">
        <v>0</v>
      </c>
      <c r="E19" s="116">
        <f t="shared" si="0"/>
        <v>1580</v>
      </c>
      <c r="F19" s="115">
        <v>0</v>
      </c>
      <c r="G19" s="115">
        <v>0</v>
      </c>
      <c r="H19" s="115">
        <v>1707</v>
      </c>
      <c r="I19" s="7">
        <v>0</v>
      </c>
      <c r="J19" s="115">
        <v>3596</v>
      </c>
    </row>
    <row r="20" spans="1:10" ht="27.75" customHeight="1">
      <c r="A20" s="3">
        <v>6050</v>
      </c>
      <c r="B20" s="2" t="s">
        <v>23</v>
      </c>
      <c r="C20" s="115">
        <v>0</v>
      </c>
      <c r="D20" s="115">
        <v>0</v>
      </c>
      <c r="E20" s="116">
        <f t="shared" si="0"/>
        <v>0</v>
      </c>
      <c r="F20" s="115">
        <v>0</v>
      </c>
      <c r="G20" s="115"/>
      <c r="H20" s="115">
        <v>0</v>
      </c>
      <c r="I20" s="7">
        <v>0</v>
      </c>
      <c r="J20" s="115">
        <v>0</v>
      </c>
    </row>
    <row r="21" spans="1:10" ht="30" customHeight="1">
      <c r="A21" s="3">
        <v>6060</v>
      </c>
      <c r="B21" s="2" t="s">
        <v>22</v>
      </c>
      <c r="C21" s="115">
        <v>0</v>
      </c>
      <c r="D21" s="115">
        <v>0</v>
      </c>
      <c r="E21" s="116">
        <f t="shared" si="0"/>
        <v>0</v>
      </c>
      <c r="F21" s="115">
        <v>0</v>
      </c>
      <c r="G21" s="115">
        <v>0</v>
      </c>
      <c r="H21" s="115">
        <v>0</v>
      </c>
      <c r="I21" s="7">
        <v>0</v>
      </c>
      <c r="J21" s="115">
        <v>0</v>
      </c>
    </row>
    <row r="22" spans="1:10" ht="12.75">
      <c r="A22" s="196" t="s">
        <v>34</v>
      </c>
      <c r="B22" s="197"/>
      <c r="C22" s="117">
        <f aca="true" t="shared" si="1" ref="C22:J22">SUM(C5:C21)</f>
        <v>38186.52</v>
      </c>
      <c r="D22" s="117">
        <f t="shared" si="1"/>
        <v>12050.16</v>
      </c>
      <c r="E22" s="117">
        <f t="shared" si="1"/>
        <v>50089.55</v>
      </c>
      <c r="F22" s="117">
        <f t="shared" si="1"/>
        <v>48451</v>
      </c>
      <c r="G22" s="117">
        <f t="shared" si="1"/>
        <v>48853.73</v>
      </c>
      <c r="H22" s="117">
        <f t="shared" si="1"/>
        <v>4029.3900000000003</v>
      </c>
      <c r="I22" s="117">
        <f t="shared" si="1"/>
        <v>13696.490000000002</v>
      </c>
      <c r="J22" s="117">
        <f t="shared" si="1"/>
        <v>53400</v>
      </c>
    </row>
  </sheetData>
  <mergeCells count="1">
    <mergeCell ref="A22:B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Rozwoj</cp:lastModifiedBy>
  <cp:lastPrinted>2005-05-06T10:38:51Z</cp:lastPrinted>
  <dcterms:created xsi:type="dcterms:W3CDTF">1997-02-26T13:46:56Z</dcterms:created>
  <dcterms:modified xsi:type="dcterms:W3CDTF">2005-05-09T09:18:31Z</dcterms:modified>
  <cp:category/>
  <cp:version/>
  <cp:contentType/>
  <cp:contentStatus/>
</cp:coreProperties>
</file>